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comments10.xml" ContentType="application/vnd.openxmlformats-officedocument.spreadsheetml.comments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drawings/_rels/drawing9.xml.rels" ContentType="application/vnd.openxmlformats-package.relationships+xml"/>
  <Override PartName="/xl/drawings/vmlDrawing18.vml" ContentType="application/vnd.openxmlformats-officedocument.vmlDrawing"/>
  <Override PartName="/xl/drawings/vmlDrawing7.vml" ContentType="application/vnd.openxmlformats-officedocument.vmlDrawing"/>
  <Override PartName="/xl/drawings/drawing1.xml" ContentType="application/vnd.openxmlformats-officedocument.drawing+xml"/>
  <Override PartName="/xl/drawings/vmlDrawing2.vml" ContentType="application/vnd.openxmlformats-officedocument.vmlDrawing"/>
  <Override PartName="/xl/drawings/vmlDrawing9.vml" ContentType="application/vnd.openxmlformats-officedocument.vmlDrawing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vmlDrawing8.vml" ContentType="application/vnd.openxmlformats-officedocument.vmlDrawing"/>
  <Override PartName="/xl/drawings/drawing2.xml" ContentType="application/vnd.openxmlformats-officedocument.drawing+xml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drawing3.xml" ContentType="application/vnd.openxmlformats-officedocument.drawing+xml"/>
  <Override PartName="/xl/drawings/vmlDrawing19.vml" ContentType="application/vnd.openxmlformats-officedocument.vmlDrawing"/>
  <Override PartName="/xl/drawings/vmlDrawing20.vml" ContentType="application/vnd.openxmlformats-officedocument.vmlDrawing"/>
  <Override PartName="/xl/drawings/vmlDrawing6.vml" ContentType="application/vnd.openxmlformats-officedocument.vmlDrawing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vmlDrawing10.vml" ContentType="application/vnd.openxmlformats-officedocument.vmlDrawing"/>
  <Override PartName="/xl/drawings/drawing6.xml" ContentType="application/vnd.openxmlformats-officedocument.drawing+xml"/>
  <Override PartName="/xl/drawings/drawing11.xml" ContentType="application/vnd.openxmlformats-officedocument.drawing+xml"/>
  <Override PartName="/xl/drawings/vmlDrawing5.vml" ContentType="application/vnd.openxmlformats-officedocument.vmlDrawing"/>
  <Override PartName="/xl/drawings/drawing4.xml" ContentType="application/vnd.openxmlformats-officedocument.drawing+xml"/>
  <Override PartName="/xl/drawings/vmlDrawing1.vml" ContentType="application/vnd.openxmlformats-officedocument.vmlDrawing"/>
  <Override PartName="/xl/drawings/vmlDrawing11.vml" ContentType="application/vnd.openxmlformats-officedocument.vmlDrawing"/>
  <Override PartName="/xl/drawings/vmlDrawing12.vml" ContentType="application/vnd.openxmlformats-officedocument.vmlDrawing"/>
  <Override PartName="/xl/drawings/vmlDrawing13.vml" ContentType="application/vnd.openxmlformats-officedocument.vmlDrawing"/>
  <Override PartName="/xl/drawings/vmlDrawing14.vml" ContentType="application/vnd.openxmlformats-officedocument.vmlDrawing"/>
  <Override PartName="/xl/drawings/vmlDrawing15.vml" ContentType="application/vnd.openxmlformats-officedocument.vmlDrawing"/>
  <Override PartName="/xl/drawings/vmlDrawing16.vml" ContentType="application/vnd.openxmlformats-officedocument.vmlDrawing"/>
  <Override PartName="/xl/drawings/drawing9.xml" ContentType="application/vnd.openxmlformats-officedocument.drawing+xml"/>
  <Override PartName="/xl/drawings/vmlDrawing17.vml" ContentType="application/vnd.openxmlformats-officedocument.vmlDrawing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xl/comments14.xml" ContentType="application/vnd.openxmlformats-officedocument.spreadsheetml.comments+xml"/>
  <Override PartName="/xl/comments3.xml" ContentType="application/vnd.openxmlformats-officedocument.spreadsheetml.comment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3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4.xml.rels" ContentType="application/vnd.openxmlformats-package.relationships+xml"/>
  <Override PartName="/xl/worksheets/_rels/sheet6.xml.rels" ContentType="application/vnd.openxmlformats-package.relationships+xml"/>
  <Override PartName="/xl/worksheets/_rels/sheet12.xml.rels" ContentType="application/vnd.openxmlformats-package.relationships+xml"/>
  <Override PartName="/xl/worksheets/_rels/sheet9.xml.rels" ContentType="application/vnd.openxmlformats-package.relationships+xml"/>
  <Override PartName="/xl/worksheets/_rels/sheet13.xml.rels" ContentType="application/vnd.openxmlformats-package.relationships+xml"/>
  <Override PartName="/xl/worksheets/_rels/sheet16.xml.rels" ContentType="application/vnd.openxmlformats-package.relationships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22.xml.rels" ContentType="application/vnd.openxmlformats-package.relationships+xml"/>
  <Override PartName="/xl/worksheets/_rels/sheet21.xml.rels" ContentType="application/vnd.openxmlformats-package.relationships+xml"/>
  <Override PartName="/xl/worksheets/_rels/sheet19.xml.rels" ContentType="application/vnd.openxmlformats-package.relationships+xml"/>
  <Override PartName="/xl/worksheets/_rels/sheet20.xml.rels" ContentType="application/vnd.openxmlformats-package.relationships+xml"/>
  <Override PartName="/xl/worksheets/_rels/sheet18.xml.rels" ContentType="application/vnd.openxmlformats-package.relationships+xml"/>
  <Override PartName="/xl/worksheets/_rels/sheet17.xml.rels" ContentType="application/vnd.openxmlformats-package.relationships+xml"/>
  <Override PartName="/xl/worksheets/_rels/sheet15.xml.rels" ContentType="application/vnd.openxmlformats-package.relationships+xml"/>
  <Override PartName="/xl/worksheets/_rels/sheet7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comments4.xml" ContentType="application/vnd.openxmlformats-officedocument.spreadsheetml.comment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comments6.xml" ContentType="application/vnd.openxmlformats-officedocument.spreadsheetml.comments+xml"/>
  <Override PartName="/xl/comments22.xml" ContentType="application/vnd.openxmlformats-officedocument.spreadsheetml.comments+xml"/>
  <Override PartName="/xl/comments21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18.xml" ContentType="application/vnd.openxmlformats-officedocument.spreadsheetml.comments+xml"/>
  <Override PartName="/xl/comments17.xml" ContentType="application/vnd.openxmlformats-officedocument.spreadsheetml.comments+xml"/>
  <Override PartName="/xl/comments16.xml" ContentType="application/vnd.openxmlformats-officedocument.spreadsheetml.comments+xml"/>
  <Override PartName="/xl/comments15.xml" ContentType="application/vnd.openxmlformats-officedocument.spreadsheetml.comments+xml"/>
  <Override PartName="/xl/workbook.xml" ContentType="application/vnd.openxmlformats-officedocument.spreadsheetml.sheet.main+xml"/>
  <Override PartName="/xl/media/image3.png" ContentType="image/png"/>
  <Override PartName="/xl/media/image4.png" ContentType="image/png"/>
  <Override PartName="/xl/comments13.xml" ContentType="application/vnd.openxmlformats-officedocument.spreadsheetml.comments+xml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1"/>
  </bookViews>
  <sheets>
    <sheet name="2001" sheetId="1" state="visible" r:id="rId2"/>
    <sheet name="2002" sheetId="2" state="visible" r:id="rId3"/>
    <sheet name="2003" sheetId="3" state="visible" r:id="rId4"/>
    <sheet name="2004" sheetId="4" state="visible" r:id="rId5"/>
    <sheet name="2005" sheetId="5" state="visible" r:id="rId6"/>
    <sheet name="2006" sheetId="6" state="visible" r:id="rId7"/>
    <sheet name="2007" sheetId="7" state="visible" r:id="rId8"/>
    <sheet name="2008" sheetId="8" state="visible" r:id="rId9"/>
    <sheet name="2009" sheetId="9" state="visible" r:id="rId10"/>
    <sheet name="2010" sheetId="10" state="visible" r:id="rId11"/>
    <sheet name="2011" sheetId="11" state="visible" r:id="rId12"/>
    <sheet name="2012" sheetId="12" state="visible" r:id="rId13"/>
    <sheet name="2013" sheetId="13" state="visible" r:id="rId14"/>
    <sheet name="2014" sheetId="14" state="visible" r:id="rId15"/>
    <sheet name="2015" sheetId="15" state="visible" r:id="rId16"/>
    <sheet name="2016" sheetId="16" state="visible" r:id="rId17"/>
    <sheet name="2017" sheetId="17" state="visible" r:id="rId18"/>
    <sheet name="2018" sheetId="18" state="visible" r:id="rId19"/>
    <sheet name="2019" sheetId="19" state="visible" r:id="rId20"/>
    <sheet name="2020" sheetId="20" state="visible" r:id="rId21"/>
    <sheet name="2022" sheetId="21" state="visible" r:id="rId22"/>
    <sheet name="2024" sheetId="22" state="visible" r:id="rId23"/>
  </sheets>
  <definedNames>
    <definedName function="false" hidden="false" localSheetId="6" name="_xlnm.Print_Area" vbProcedure="false">'2007'!$A$1:$P$24</definedName>
    <definedName function="false" hidden="true" localSheetId="9" name="_xlnm._FilterDatabase" vbProcedure="false">'2010'!$A$1:$BF$23</definedName>
    <definedName function="false" hidden="true" localSheetId="10" name="_xlnm._FilterDatabase" vbProcedure="false">'2011'!$A$1:$M$24</definedName>
    <definedName function="false" hidden="true" localSheetId="11" name="_xlnm._FilterDatabase" vbProcedure="false">'2012'!$A$1:$S$18</definedName>
    <definedName function="false" hidden="true" localSheetId="12" name="_xlnm._FilterDatabase" vbProcedure="false">'2013'!$A$1:$R$16</definedName>
    <definedName function="false" hidden="true" localSheetId="14" name="_xlnm._FilterDatabase" vbProcedure="false">'2015'!$A$1:$L$19</definedName>
    <definedName function="false" hidden="true" localSheetId="15" name="_xlnm._FilterDatabase" vbProcedure="false">'2016'!$A$1:$P$20</definedName>
    <definedName function="false" hidden="true" localSheetId="16" name="_xlnm._FilterDatabase" vbProcedure="false">'2017'!$A$1:$R$18</definedName>
    <definedName function="false" hidden="true" localSheetId="17" name="_xlnm._FilterDatabase" vbProcedure="false">'2018'!$A$1:$Q$1</definedName>
    <definedName function="false" hidden="true" localSheetId="18" name="_xlnm._FilterDatabase" vbProcedure="false">'2019'!$A$1:$Q$17</definedName>
    <definedName function="false" hidden="true" localSheetId="19" name="_xlnm._FilterDatabase" vbProcedure="false">'2020'!$A$1:$K$17</definedName>
    <definedName function="false" hidden="true" localSheetId="20" name="_xlnm._FilterDatabase" vbProcedure="false">'2022'!$A$1:$K$21</definedName>
    <definedName function="false" hidden="false" localSheetId="8" name="Excel_BuiltIn__FilterDatabase" vbProcedure="false">'2009'!$A$1:$BR$31</definedName>
    <definedName function="false" hidden="false" localSheetId="13" name="_xlnm._FilterDatabase" vbProcedure="false">'2014'!$A$1:$R$15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" authorId="0">
      <text>
        <r>
          <rPr>
            <sz val="12"/>
            <color rgb="FFE7FDFF"/>
            <rFont val="Tahoma"/>
            <family val="2"/>
            <charset val="204"/>
          </rPr>
          <t xml:space="preserve">Зараховано до команди незалежно від результатів відбірково-тренувальних зборів (І місце на IV етапі 2009 року)</t>
        </r>
      </text>
    </comment>
    <comment ref="B2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3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5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6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7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8" authorId="0">
      <text>
        <r>
          <rPr>
            <sz val="12"/>
            <color rgb="FFE7FDFF"/>
            <rFont val="Arial"/>
            <family val="2"/>
            <charset val="204"/>
          </rPr>
          <t xml:space="preserve">спеціалізована школа</t>
        </r>
      </text>
    </comment>
    <comment ref="B9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фізико-математичний ліцей</t>
        </r>
      </text>
    </comment>
    <comment ref="B10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1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2" authorId="0">
      <text>
        <r>
          <rPr>
            <sz val="10"/>
            <color rgb="FFE7FDFF"/>
            <rFont val="Tahoma"/>
            <family val="2"/>
            <charset val="204"/>
          </rPr>
          <t xml:space="preserve">ліцей інформаційних технологій</t>
        </r>
      </text>
    </comment>
    <comment ref="B13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8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фізико-математичний ліцей</t>
        </r>
      </text>
    </comment>
    <comment ref="B19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20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Технічний ліцей</t>
        </r>
      </text>
    </comment>
    <comment ref="D1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D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E1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E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F4" authorId="0">
      <text>
        <r>
          <rPr>
            <sz val="12"/>
            <color rgb="FFE7FDFF"/>
            <rFont val="Tahoma"/>
            <family val="2"/>
            <charset val="204"/>
          </rPr>
          <t xml:space="preserve">Запізнився на 3 години з 5</t>
        </r>
      </text>
    </comment>
    <comment ref="F2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F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G4" authorId="0">
      <text>
        <r>
          <rPr>
            <sz val="12"/>
            <color rgb="FFE7FDFF"/>
            <rFont val="Tahoma"/>
            <family val="2"/>
            <charset val="204"/>
          </rPr>
          <t xml:space="preserve">Запізнився на 3 години з 5</t>
        </r>
      </text>
    </comment>
    <comment ref="G2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G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19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2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19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2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19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2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1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19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2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</commentList>
</comments>
</file>

<file path=xl/comments1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3" authorId="0">
      <text>
        <r>
          <rPr>
            <sz val="12"/>
            <color rgb="FFE7FDFF"/>
            <rFont val="Tahoma"/>
            <family val="2"/>
            <charset val="204"/>
          </rPr>
          <t xml:space="preserve">Ліцей</t>
        </r>
      </text>
    </comment>
    <comment ref="B5" authorId="0">
      <text>
        <r>
          <rPr>
            <sz val="12"/>
            <color rgb="FFE7FDFF"/>
            <rFont val="Tahoma"/>
            <family val="2"/>
            <charset val="204"/>
          </rPr>
          <t xml:space="preserve">Русанівський ліцей</t>
        </r>
      </text>
    </comment>
    <comment ref="B6" authorId="0">
      <text>
        <r>
          <rPr>
            <sz val="12"/>
            <color rgb="FFE7FDFF"/>
            <rFont val="Arial Narrow"/>
            <family val="2"/>
            <charset val="204"/>
          </rPr>
          <t xml:space="preserve">Гімназія</t>
        </r>
      </text>
    </comment>
    <comment ref="B7" authorId="0">
      <text>
        <r>
          <rPr>
            <sz val="12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B8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9" authorId="0">
      <text>
        <r>
          <rPr>
            <sz val="12"/>
            <color rgb="FFE7FDFF"/>
            <rFont val="Tahoma"/>
            <family val="2"/>
            <charset val="204"/>
          </rPr>
          <t xml:space="preserve">Ліцей № 38 ім. В.М.Молчанова</t>
        </r>
      </text>
    </comment>
    <comment ref="B10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11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фізико-математичний ліцей</t>
        </r>
      </text>
    </comment>
    <comment ref="B12" authorId="0">
      <text>
        <r>
          <rPr>
            <sz val="12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B13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5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6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7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8" authorId="0">
      <text>
        <r>
          <rPr>
            <sz val="12"/>
            <color rgb="FFE7FDFF"/>
            <rFont val="Times New Roman"/>
            <family val="1"/>
            <charset val="1"/>
          </rPr>
          <t xml:space="preserve">ТЛ НТУУ "КПІ"</t>
        </r>
      </text>
    </comment>
    <comment ref="D17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D18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E6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E9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E1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E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E17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F17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F18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G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G17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G18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9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17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18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1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16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17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18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16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17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18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6" authorId="0">
      <text>
        <r>
          <rPr>
            <sz val="14"/>
            <color rgb="FFE7FDFF"/>
            <rFont val="Tahoma"/>
            <family val="2"/>
            <charset val="204"/>
          </rPr>
          <t xml:space="preserve">Проапельовано за результатами безпосередніх вимірювань часу самою програмою.</t>
        </r>
      </text>
    </comment>
    <comment ref="K1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16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17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18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</commentList>
</comments>
</file>

<file path=xl/comments1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" authorId="0">
      <text>
        <r>
          <rPr>
            <sz val="12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C3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C5" authorId="0">
      <text>
        <r>
          <rPr>
            <sz val="12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C6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фізико-математичний ліцей</t>
        </r>
      </text>
    </comment>
    <comment ref="C7" authorId="0">
      <text>
        <r>
          <rPr>
            <sz val="12"/>
            <color rgb="FFE7FDFF"/>
            <rFont val="Arial Narrow"/>
            <family val="2"/>
            <charset val="204"/>
          </rPr>
          <t xml:space="preserve">Гімназія</t>
        </r>
      </text>
    </comment>
    <comment ref="C8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C9" authorId="0">
      <text>
        <r>
          <rPr>
            <sz val="12"/>
            <color rgb="FFE7FDFF"/>
            <rFont val="Tahoma"/>
            <family val="2"/>
            <charset val="204"/>
          </rPr>
          <t xml:space="preserve">Русанівський ліцей</t>
        </r>
      </text>
    </comment>
    <comment ref="C10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C11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C12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C14" authorId="0">
      <text>
        <r>
          <rPr>
            <sz val="12"/>
            <color rgb="FFE7FDFF"/>
            <rFont val="Tahoma"/>
            <family val="2"/>
            <charset val="204"/>
          </rPr>
          <t xml:space="preserve">Спеціалізована школа</t>
        </r>
      </text>
    </comment>
    <comment ref="C15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C16" authorId="0">
      <text>
        <r>
          <rPr>
            <sz val="12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C17" authorId="0">
      <text>
        <r>
          <rPr>
            <sz val="12"/>
            <color rgb="FFE7FDFF"/>
            <rFont val="Tahoma"/>
            <family val="2"/>
            <charset val="204"/>
          </rPr>
          <t xml:space="preserve">Ліцей</t>
        </r>
      </text>
    </comment>
    <comment ref="C18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G17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з'явилася</t>
        </r>
      </text>
    </comment>
    <comment ref="H17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з'явилася</t>
        </r>
      </text>
    </comment>
    <comment ref="I17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з'явилася</t>
        </r>
      </text>
    </comment>
    <comment ref="I18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J17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з'явилася</t>
        </r>
      </text>
    </comment>
    <comment ref="J18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K16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K17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з'явилася</t>
        </r>
      </text>
    </comment>
    <comment ref="K18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L3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L10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L16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L17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з'явилася</t>
        </r>
      </text>
    </comment>
    <comment ref="L18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M16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M17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з'явилася</t>
        </r>
      </text>
    </comment>
    <comment ref="M18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N6" authorId="0">
      <text>
        <r>
          <rPr>
            <sz val="12"/>
            <color rgb="FFE7FDFF"/>
            <rFont val="Tahoma"/>
            <family val="2"/>
            <charset val="204"/>
          </rPr>
          <t xml:space="preserve">Задачу circle первірено з заміром часу з програми. Замість 5 присуджено 85 балів.  Не пройдено за часом тести 15, 18, 19.</t>
        </r>
      </text>
    </comment>
    <comment ref="N7" authorId="0">
      <text>
        <r>
          <rPr>
            <sz val="12"/>
            <color rgb="FFE7FDFF"/>
            <rFont val="Tahoma"/>
            <family val="2"/>
            <charset val="204"/>
          </rPr>
          <t xml:space="preserve">Vacation перевірено при ручному замірі часу. Не пройдено тести 4, 5, 9, 10, 11 за вмістом.</t>
        </r>
      </text>
    </comment>
    <comment ref="N16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N17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з'явилася</t>
        </r>
      </text>
    </comment>
    <comment ref="N18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O9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O16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O17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з'явилася</t>
        </r>
      </text>
    </comment>
    <comment ref="O18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P3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P9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P10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P16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P17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з'явилася</t>
        </r>
      </text>
    </comment>
    <comment ref="P18" authorId="0">
      <text>
        <r>
          <rPr>
            <sz val="12"/>
            <color rgb="FFE7FDFF"/>
            <rFont val="Tahoma"/>
            <family val="2"/>
            <charset val="204"/>
          </rPr>
          <t xml:space="preserve">Не з'явився</t>
        </r>
      </text>
    </comment>
    <comment ref="S15" authorId="0">
      <text>
        <r>
          <rPr>
            <sz val="12"/>
            <color rgb="FFE7FDFF"/>
            <rFont val="Tahoma"/>
            <family val="2"/>
            <charset val="204"/>
          </rPr>
          <t xml:space="preserve">переможець NetOI</t>
        </r>
      </text>
    </comment>
  </commentList>
</comments>
</file>

<file path=xl/comments1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" authorId="0">
      <text>
        <r>
          <rPr>
            <sz val="12"/>
            <color rgb="FFFFFFFF"/>
            <rFont val="Tahoma"/>
            <family val="2"/>
            <charset val="204"/>
          </rPr>
          <t xml:space="preserve">ліцей інформаційних технологій</t>
        </r>
      </text>
    </comment>
    <comment ref="B3" authorId="0">
      <text>
        <r>
          <rPr>
            <sz val="12"/>
            <color rgb="FFFFFFFF"/>
            <rFont val="Tahoma"/>
            <family val="2"/>
            <charset val="204"/>
          </rPr>
          <t xml:space="preserve">Природничо-науковий ліцей</t>
        </r>
      </text>
    </comment>
    <comment ref="B5" authorId="0">
      <text>
        <r>
          <rPr>
            <sz val="12"/>
            <color rgb="FFFFFFFF"/>
            <rFont val="Tahoma"/>
            <family val="2"/>
            <charset val="204"/>
          </rPr>
          <t xml:space="preserve">Ліцей "Наукова зміна"
</t>
        </r>
      </text>
    </comment>
    <comment ref="B6" authorId="0">
      <text>
        <r>
          <rPr>
            <sz val="12"/>
            <color rgb="FFFFFFFF"/>
            <rFont val="Tahoma"/>
            <family val="2"/>
            <charset val="204"/>
          </rPr>
          <t xml:space="preserve">Русанівський ліцей</t>
        </r>
      </text>
    </comment>
    <comment ref="B7" authorId="0">
      <text>
        <r>
          <rPr>
            <b val="true"/>
            <sz val="8"/>
            <color rgb="FFFFFFFF"/>
            <rFont val="Tahoma"/>
            <family val="2"/>
            <charset val="204"/>
          </rPr>
          <t xml:space="preserve">Києво-Печерський ліцей "Лідер"</t>
        </r>
      </text>
    </comment>
    <comment ref="B8" authorId="0">
      <text>
        <r>
          <rPr>
            <b val="true"/>
            <sz val="8"/>
            <color rgb="FFFFFFFF"/>
            <rFont val="Tahoma"/>
            <family val="2"/>
            <charset val="204"/>
          </rPr>
          <t xml:space="preserve">Києво-Печерський ліцей "Лідер"</t>
        </r>
      </text>
    </comment>
    <comment ref="B9" authorId="0">
      <text>
        <r>
          <rPr>
            <sz val="12"/>
            <color rgb="FFFFFFFF"/>
            <rFont val="Tahoma"/>
            <family val="2"/>
            <charset val="204"/>
          </rPr>
          <t xml:space="preserve">Ліцей "Наукова зміна"
</t>
        </r>
      </text>
    </comment>
    <comment ref="B10" authorId="0">
      <text>
        <r>
          <rPr>
            <sz val="12"/>
            <color rgb="FFFFFFFF"/>
            <rFont val="Tahoma"/>
            <family val="2"/>
            <charset val="204"/>
          </rPr>
          <t xml:space="preserve">Ліцей "Наукова зміна"
</t>
        </r>
      </text>
    </comment>
    <comment ref="B11" authorId="0">
      <text>
        <r>
          <rPr>
            <sz val="12"/>
            <color rgb="FFFFFFFF"/>
            <rFont val="Tahoma"/>
            <family val="2"/>
            <charset val="204"/>
          </rPr>
          <t xml:space="preserve">Ліцей № 157</t>
        </r>
      </text>
    </comment>
    <comment ref="B12" authorId="0">
      <text>
        <r>
          <rPr>
            <sz val="12"/>
            <color rgb="FFFFFFFF"/>
            <rFont val="Tahoma"/>
            <family val="2"/>
            <charset val="204"/>
          </rPr>
          <t xml:space="preserve">Ліцей "Наукова зміна"
</t>
        </r>
      </text>
    </comment>
    <comment ref="B14" authorId="0">
      <text>
        <r>
          <rPr>
            <sz val="12"/>
            <color rgb="FFFFFFFF"/>
            <rFont val="Arial Narrow"/>
            <family val="2"/>
            <charset val="204"/>
          </rPr>
          <t xml:space="preserve">Гімназія</t>
        </r>
      </text>
    </comment>
    <comment ref="B15" authorId="0">
      <text>
        <r>
          <rPr>
            <b val="true"/>
            <sz val="8"/>
            <color rgb="FFFFFFFF"/>
            <rFont val="Tahoma"/>
            <family val="2"/>
            <charset val="204"/>
          </rPr>
          <t xml:space="preserve">Києво-Печерський ліцей "Лідер"</t>
        </r>
      </text>
    </comment>
    <comment ref="B16" authorId="0">
      <text>
        <r>
          <rPr>
            <b val="true"/>
            <sz val="8"/>
            <color rgb="FFFFFFFF"/>
            <rFont val="Tahoma"/>
            <family val="2"/>
            <charset val="204"/>
          </rPr>
          <t xml:space="preserve">Києво-Печерський ліцей "Лідер"</t>
        </r>
      </text>
    </comment>
    <comment ref="F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F6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F12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F13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F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F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F16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G16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I16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J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K11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K13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K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L11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L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L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M11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M15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context.txt</t>
        </r>
      </text>
    </comment>
    <comment ref="M16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N11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N16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O10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O11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O15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context.txt</t>
        </r>
      </text>
    </comment>
    <comment ref="O16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</commentList>
</comments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7" authorId="0">
      <text>
        <r>
          <rPr>
            <sz val="12"/>
            <color rgb="FF000000"/>
            <rFont val="Tahoma"/>
            <family val="2"/>
            <charset val="204"/>
          </rPr>
          <t xml:space="preserve">Всі вихідні файли задачі rectang ідентичні й містять "No solution"</t>
        </r>
      </text>
    </comment>
    <comment ref="F10" authorId="0">
      <text>
        <r>
          <rPr>
            <sz val="12"/>
            <color rgb="FF000000"/>
            <rFont val="Tahoma"/>
            <family val="2"/>
            <charset val="204"/>
          </rPr>
          <t xml:space="preserve">Всі вихідні файли задачі rectang ідентичні й містять "No solution"</t>
        </r>
      </text>
    </comment>
    <comment ref="F13" authorId="0">
      <text>
        <r>
          <rPr>
            <sz val="12"/>
            <color rgb="FF000000"/>
            <rFont val="Tahoma"/>
            <family val="2"/>
            <charset val="204"/>
          </rPr>
          <t xml:space="preserve">Всі вихідні файли задачі rectang ідентичні й містять "No solution"</t>
        </r>
      </text>
    </comment>
    <comment ref="F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G8" authorId="0">
      <text>
        <r>
          <rPr>
            <sz val="12"/>
            <color rgb="FF000000"/>
            <rFont val="Tahoma"/>
            <family val="2"/>
            <charset val="204"/>
          </rPr>
          <t xml:space="preserve">Неможливо зкомпылювати протягом 4 годин з параметром оптимызацыъ, передбаченим Порядком проведення
</t>
        </r>
      </text>
    </comment>
    <comment ref="G10" authorId="0">
      <text>
        <r>
          <rPr>
            <sz val="12"/>
            <color rgb="FF000000"/>
            <rFont val="Tahoma"/>
            <family val="2"/>
            <charset val="204"/>
          </rPr>
          <t xml:space="preserve">Всі вихідні файли задачі game ідентичні й містять 2 порожні рядки, як і задумано учасником.</t>
        </r>
      </text>
    </comment>
    <comment ref="G12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G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G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H12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H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H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I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I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J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J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K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K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L8" authorId="0">
      <text>
        <r>
          <rPr>
            <sz val="12"/>
            <color rgb="FF000000"/>
            <rFont val="Tahoma"/>
            <family val="2"/>
            <charset val="204"/>
          </rPr>
          <t xml:space="preserve">Нестійкість роботи convol внаслідок виходу за межі масиву. Тому 6 балів за цю задачу анульовано.</t>
        </r>
      </text>
    </comment>
    <comment ref="L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L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M10" authorId="0">
      <text>
        <r>
          <rPr>
            <sz val="12"/>
            <color rgb="FF000000"/>
            <rFont val="Tahoma"/>
            <family val="2"/>
            <charset val="204"/>
          </rPr>
          <t xml:space="preserve">Перепровірено:
+20 балів за "Шаховий клуб"</t>
        </r>
      </text>
    </comment>
    <comment ref="M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M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N11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N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N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O1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Перепровiрено з обмеженням на час 5 секунд для завдання nested (С - 2 секунди, Pascal - 5 секунд при одному алгоритмі)</t>
        </r>
      </text>
    </comment>
    <comment ref="O7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O9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O11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O12" authorId="0">
      <text>
        <r>
          <rPr>
            <sz val="12"/>
            <color rgb="FF000000"/>
            <rFont val="Tahoma"/>
            <family val="2"/>
            <charset val="204"/>
          </rPr>
          <t xml:space="preserve">NESTED: стале виведення на всіх тестах</t>
        </r>
      </text>
    </comment>
    <comment ref="O13" authorId="0">
      <text>
        <r>
          <rPr>
            <sz val="12"/>
            <color rgb="FF000000"/>
            <rFont val="Tahoma"/>
            <family val="2"/>
            <charset val="204"/>
          </rPr>
          <t xml:space="preserve">FARBEN та NESTED - стале виведення на всіх тестах</t>
        </r>
      </text>
    </comment>
    <comment ref="O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O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R8" authorId="0">
      <text>
        <r>
          <rPr>
            <sz val="12"/>
            <color rgb="FF000000"/>
            <rFont val="Tahoma"/>
            <family val="2"/>
            <charset val="204"/>
          </rPr>
          <t xml:space="preserve">Згідно з результатами NetOI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8" authorId="0">
      <text>
        <r>
          <rPr>
            <sz val="12"/>
            <color rgb="FF000000"/>
            <rFont val="Tahoma"/>
            <family val="2"/>
            <charset val="204"/>
          </rPr>
          <t xml:space="preserve">Ново печерська школа</t>
        </r>
      </text>
    </comment>
    <comment ref="L12" authorId="0">
      <text>
        <r>
          <rPr>
            <sz val="12"/>
            <color rgb="FF000000"/>
            <rFont val="Tahoma"/>
            <family val="2"/>
            <charset val="204"/>
          </rPr>
          <t xml:space="preserve">Як 1 місце на IV етапі минулого року</t>
        </r>
      </text>
    </comment>
  </commentList>
</comments>
</file>

<file path=xl/comments1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5" authorId="0">
      <text>
        <r>
          <rPr>
            <sz val="12"/>
            <color rgb="FF000000"/>
            <rFont val="Tahoma"/>
            <family val="2"/>
            <charset val="204"/>
          </rPr>
          <t xml:space="preserve">Ново печерська школа</t>
        </r>
      </text>
    </comment>
    <comment ref="B8" authorId="0">
      <text>
        <r>
          <rPr>
            <sz val="12"/>
            <color rgb="FF000000"/>
            <rFont val="Tahoma"/>
            <family val="2"/>
            <charset val="204"/>
          </rPr>
          <t xml:space="preserve">гімназія "Анадемія"</t>
        </r>
      </text>
    </comment>
    <comment ref="B17" authorId="0">
      <text>
        <r>
          <rPr>
            <sz val="12"/>
            <color rgb="FF000000"/>
            <rFont val="Tahoma"/>
            <family val="2"/>
            <charset val="204"/>
          </rPr>
          <t xml:space="preserve">СШ № 194 "Перспектива"</t>
        </r>
      </text>
    </comment>
    <comment ref="F15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F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G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G18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H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H18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I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I18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J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J18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K4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K8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K15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K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K18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L15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L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L18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L19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M8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M15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M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M17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M18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M19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</commentList>
</comments>
</file>

<file path=xl/comments1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4" authorId="0">
      <text>
        <r>
          <rPr>
            <sz val="12"/>
            <color rgb="FF000000"/>
            <rFont val="Tahoma"/>
            <family val="2"/>
            <charset val="204"/>
          </rPr>
          <t xml:space="preserve">1 місце на IV етапі минулого року</t>
        </r>
      </text>
    </comment>
    <comment ref="B7" authorId="0">
      <text>
        <r>
          <rPr>
            <sz val="12"/>
            <color rgb="FF000000"/>
            <rFont val="Tahoma"/>
            <family val="2"/>
            <charset val="204"/>
          </rPr>
          <t xml:space="preserve">СШ</t>
        </r>
      </text>
    </comment>
    <comment ref="B18" authorId="0">
      <text>
        <r>
          <rPr>
            <sz val="12"/>
            <color rgb="FF000000"/>
            <rFont val="Tahoma"/>
            <family val="2"/>
            <charset val="204"/>
          </rPr>
          <t xml:space="preserve">гімназія "Анадемія"</t>
        </r>
      </text>
    </comment>
    <comment ref="F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F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G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G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H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H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I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I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J2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J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J14" authorId="0">
      <text>
        <r>
          <rPr>
            <sz val="12"/>
            <color rgb="FF000000"/>
            <rFont val="Tahoma"/>
            <family val="2"/>
            <charset val="204"/>
          </rPr>
          <t xml:space="preserve">Файл сhemie надійшов окремим листом 2017-02-16 19:11, перевірено 2017-02-20 </t>
        </r>
      </text>
    </comment>
    <comment ref="J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K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K8" authorId="0">
      <text>
        <r>
          <rPr>
            <sz val="12"/>
            <color rgb="FF000000"/>
            <rFont val="Tahoma"/>
            <family val="2"/>
            <charset val="204"/>
          </rPr>
          <t xml:space="preserve">+ 3 за тести 8, 10, 15, де у відповіді учасника закінчення подано великими літерами учасника </t>
        </r>
      </text>
    </comment>
    <comment ref="K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L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L16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L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M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M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M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</commentList>
</comments>
</file>

<file path=xl/comments1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0" authorId="0">
      <text>
        <r>
          <rPr>
            <sz val="12"/>
            <color rgb="FF000000"/>
            <rFont val="Tahoma"/>
            <family val="2"/>
            <charset val="204"/>
          </rPr>
          <t xml:space="preserve">I місце на IV етапі минулого року</t>
        </r>
      </text>
    </comment>
    <comment ref="B2" authorId="0">
      <text>
        <r>
          <rPr>
            <sz val="12"/>
            <color rgb="FF000000"/>
            <rFont val="Tahoma"/>
            <family val="2"/>
            <charset val="204"/>
          </rPr>
          <t xml:space="preserve">СШ</t>
        </r>
      </text>
    </comment>
    <comment ref="B4" authorId="0">
      <text>
        <r>
          <rPr>
            <sz val="12"/>
            <color rgb="FF000000"/>
            <rFont val="Tahoma"/>
            <family val="2"/>
            <charset val="1"/>
          </rPr>
          <t xml:space="preserve">ліцей</t>
        </r>
      </text>
    </comment>
    <comment ref="B19" authorId="0">
      <text>
        <r>
          <rPr>
            <sz val="11"/>
            <color rgb="FF000000"/>
            <rFont val="Tahoma"/>
            <family val="2"/>
            <charset val="1"/>
          </rPr>
          <t xml:space="preserve">Київська інженерна гімназія</t>
        </r>
      </text>
    </comment>
    <comment ref="H17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H19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I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I17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I19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J4" authorId="0">
      <text>
        <r>
          <rPr>
            <sz val="12"/>
            <color rgb="FF000000"/>
            <rFont val="Tahoma"/>
            <family val="2"/>
            <charset val="204"/>
          </rPr>
          <t xml:space="preserve">Переглянуто  оцінювання таких  тестів family (закінчення): 1 3 4 7 8 9 10 15 16 17 18 21 22 25 26 28 30 36 45 49 52 53 56 59 62 65 66 75 76 82 83 84 85 88 90</t>
        </r>
      </text>
    </comment>
    <comment ref="J6" authorId="0">
      <text>
        <r>
          <rPr>
            <sz val="12"/>
            <color rgb="FF000000"/>
            <rFont val="Tahoma"/>
            <family val="2"/>
            <charset val="204"/>
          </rPr>
          <t xml:space="preserve">Переглянуто тести family  (закінчення):
3,4,7,8,10,15,16,17,18,21,22,25,26,30,36,45,49,53,56,65,66,75,76,84,90</t>
        </r>
      </text>
    </comment>
    <comment ref="J7" authorId="0">
      <text>
        <r>
          <rPr>
            <sz val="12"/>
            <color rgb="FF000000"/>
            <rFont val="Tahoma"/>
            <family val="2"/>
            <charset val="204"/>
          </rPr>
          <t xml:space="preserve">Переглянуто оцінку за тест 32 family (закінчення)</t>
        </r>
      </text>
    </comment>
    <comment ref="J17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J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J19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K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K17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K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K19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L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L17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L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L19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M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M16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M17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M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M19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N6" authorId="0">
      <text>
        <r>
          <rPr>
            <sz val="12"/>
            <color rgb="FF000000"/>
            <rFont val="Tahoma"/>
            <family val="2"/>
            <charset val="204"/>
          </rPr>
          <t xml:space="preserve">Дискваліфіковано</t>
        </r>
      </text>
    </comment>
    <comment ref="N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N12" authorId="0">
      <text>
        <r>
          <rPr>
            <sz val="12"/>
            <color rgb="FF000000"/>
            <rFont val="Tahoma"/>
            <family val="2"/>
            <charset val="204"/>
          </rPr>
          <t xml:space="preserve">Апеляція по задачі nested 50% за порушення технічних вимог</t>
        </r>
      </text>
    </comment>
    <comment ref="N14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N15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N16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N17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N18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  <comment ref="N19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Відсутній</t>
        </r>
      </text>
    </comment>
  </commentList>
</comments>
</file>

<file path=xl/comments1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H4" authorId="0">
      <text>
        <r>
          <rPr>
            <sz val="12"/>
            <color rgb="FF000000"/>
            <rFont val="Tahoma"/>
            <family val="2"/>
            <charset val="204"/>
          </rPr>
          <t xml:space="preserve">Еквівалентна відповідь party 2</t>
        </r>
      </text>
    </comment>
    <comment ref="H6" authorId="0">
      <text>
        <r>
          <rPr>
            <sz val="12"/>
            <color rgb="FF000000"/>
            <rFont val="Tahoma"/>
            <family val="2"/>
            <charset val="204"/>
          </rPr>
          <t xml:space="preserve">Еквівалентна відповідь party 2</t>
        </r>
      </text>
    </comment>
    <comment ref="H17" authorId="0">
      <text>
        <r>
          <rPr>
            <sz val="12"/>
            <color rgb="FF000000"/>
            <rFont val="Tahoma"/>
            <family val="2"/>
            <charset val="204"/>
          </rPr>
          <t xml:space="preserve">Дискваліфіковано за наявність смартфону на робочому місці під час виконання завдання</t>
        </r>
      </text>
    </comment>
    <comment ref="I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J15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J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K15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K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L14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L15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L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M9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M14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M15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M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N3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  <comment ref="N14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N15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з'явилася</t>
        </r>
      </text>
    </comment>
    <comment ref="N16" authorId="0">
      <text>
        <r>
          <rPr>
            <sz val="12"/>
            <color rgb="FF000000"/>
            <rFont val="Tahoma"/>
            <family val="2"/>
            <charset val="204"/>
          </rPr>
          <t xml:space="preserve">Не з'явився</t>
        </r>
      </text>
    </comment>
  </commentList>
</comments>
</file>

<file path=xl/comments2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17" authorId="0">
      <text>
        <r>
          <rPr>
            <sz val="8"/>
            <color rgb="FF000000"/>
            <rFont val="Tahoma"/>
            <family val="2"/>
            <charset val="204"/>
          </rPr>
          <t xml:space="preserve">відсутній</t>
        </r>
      </text>
    </comment>
    <comment ref="F17" authorId="0">
      <text>
        <r>
          <rPr>
            <sz val="8"/>
            <color rgb="FF000000"/>
            <rFont val="Tahoma"/>
            <family val="2"/>
            <charset val="204"/>
          </rPr>
          <t xml:space="preserve">відсутній</t>
        </r>
      </text>
    </comment>
    <comment ref="G17" authorId="0">
      <text>
        <r>
          <rPr>
            <sz val="8"/>
            <color rgb="FF000000"/>
            <rFont val="Tahoma"/>
            <family val="2"/>
            <charset val="204"/>
          </rPr>
          <t xml:space="preserve">відсутній</t>
        </r>
      </text>
    </comment>
    <comment ref="H17" authorId="0">
      <text>
        <r>
          <rPr>
            <sz val="8"/>
            <color rgb="FF000000"/>
            <rFont val="Tahoma"/>
            <family val="2"/>
            <charset val="204"/>
          </rPr>
          <t xml:space="preserve">відсутній</t>
        </r>
      </text>
    </comment>
  </commentList>
</comments>
</file>

<file path=xl/comments2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5" authorId="0">
      <text>
        <r>
          <rPr>
            <sz val="12"/>
            <color rgb="FF000000"/>
            <rFont val="Arial Narrow"/>
            <family val="2"/>
            <charset val="204"/>
          </rPr>
          <t xml:space="preserve">Не брав участі у ІІ етапі внаслідок ускладнення після щеплення проти COVID19</t>
        </r>
      </text>
    </comment>
    <comment ref="E20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F20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F21" authorId="0">
      <text>
        <r>
          <rPr>
            <sz val="10"/>
            <rFont val="Arial Cyr"/>
            <family val="2"/>
            <charset val="204"/>
          </rPr>
          <t xml:space="preserve">Позбавлено права участі після виявлення на 40-ій хвилині смартфону у кишені</t>
        </r>
        <r>
          <rPr>
            <b val="true"/>
            <sz val="9"/>
            <color rgb="FF000000"/>
            <rFont val="Tahoma"/>
            <family val="0"/>
            <charset val="1"/>
          </rPr>
          <t xml:space="preserve"> </t>
        </r>
      </text>
    </comment>
    <comment ref="G20" authorId="0">
      <text>
        <r>
          <rPr>
            <sz val="12"/>
            <color rgb="FF000000"/>
            <rFont val="Tahoma"/>
            <family val="2"/>
            <charset val="204"/>
          </rPr>
          <t xml:space="preserve">Відсутня</t>
        </r>
      </text>
    </comment>
    <comment ref="J3" authorId="0">
      <text>
        <r>
          <rPr>
            <sz val="12"/>
            <color rgb="FF000000"/>
            <rFont val="Tahoma"/>
            <family val="2"/>
            <charset val="204"/>
          </rPr>
          <t xml:space="preserve">Як переможець Інтернет-олімпіади</t>
        </r>
      </text>
    </comment>
    <comment ref="J4" authorId="0">
      <text>
        <r>
          <rPr>
            <sz val="12"/>
            <color rgb="FF000000"/>
            <rFont val="Tahoma"/>
            <family val="2"/>
            <charset val="204"/>
          </rPr>
          <t xml:space="preserve">Як переможець Інтернет-олімпіади</t>
        </r>
      </text>
    </comment>
    <comment ref="J6" authorId="0">
      <text>
        <r>
          <rPr>
            <sz val="12"/>
            <color rgb="FF000000"/>
            <rFont val="Tahoma"/>
            <family val="2"/>
            <charset val="204"/>
          </rPr>
          <t xml:space="preserve">Як переможець Інтернет-олімпіади</t>
        </r>
      </text>
    </comment>
    <comment ref="J8" authorId="0">
      <text>
        <r>
          <rPr>
            <sz val="12"/>
            <color rgb="FF000000"/>
            <rFont val="Tahoma"/>
            <family val="2"/>
            <charset val="204"/>
          </rPr>
          <t xml:space="preserve">Як переможець Інтернет-олімпіади</t>
        </r>
      </text>
    </comment>
  </commentList>
</comments>
</file>

<file path=xl/comments2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L5" authorId="0">
      <text>
        <r>
          <rPr>
            <sz val="10"/>
            <rFont val="Arial"/>
            <family val="2"/>
            <charset val="1"/>
          </rPr>
          <t xml:space="preserve">І місце на IV етапі минулого року</t>
        </r>
      </text>
    </comment>
    <comment ref="L7" authorId="0">
      <text>
        <r>
          <rPr>
            <sz val="10"/>
            <rFont val="Arial"/>
            <family val="2"/>
            <charset val="1"/>
          </rPr>
          <t xml:space="preserve">І місце на IV етапі минулого року</t>
        </r>
      </text>
    </comment>
    <comment ref="L20" authorId="0">
      <text>
        <r>
          <rPr>
            <sz val="10"/>
            <rFont val="Arial"/>
            <family val="2"/>
            <charset val="1"/>
          </rPr>
          <t xml:space="preserve">І місце на IV етапі минулого року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2"/>
            <color rgb="FFE7FDFF"/>
            <rFont val="Arial Narrow"/>
            <family val="2"/>
            <charset val="1"/>
          </rPr>
          <t xml:space="preserve">Мотель - переважно порожня відповідь
Тест - Range check error в останньому тесті</t>
        </r>
      </text>
    </comment>
    <comment ref="D4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 motel.pas. Range check error d останньому тесті test.pas.
</t>
        </r>
      </text>
    </comment>
    <comment ref="D6" authorId="0">
      <text>
        <r>
          <rPr>
            <sz val="12"/>
            <color rgb="FFE7FDFF"/>
            <rFont val="Arial Narrow"/>
            <family val="2"/>
            <charset val="1"/>
          </rPr>
          <t xml:space="preserve">Мотель - переважно Runtime error
Тест - пройдено 1,2,4 повністю, 7 - частково</t>
        </r>
      </text>
    </comment>
    <comment ref="D7" authorId="0">
      <text>
        <r>
          <rPr>
            <sz val="12"/>
            <color rgb="FFE7FDFF"/>
            <rFont val="Arial Narrow"/>
            <family val="2"/>
            <charset val="1"/>
          </rPr>
          <t xml:space="preserve">Мотель - відсутня програма
Тест - неправильна кількість різних фігур в останньому тесті</t>
        </r>
      </text>
    </comment>
    <comment ref="D8" authorId="0">
      <text>
        <r>
          <rPr>
            <sz val="12"/>
            <color rgb="FFE7FDFF"/>
            <rFont val="Arial Narrow"/>
            <family val="2"/>
            <charset val="1"/>
          </rPr>
          <t xml:space="preserve">Мотель - відсутня програма</t>
        </r>
      </text>
    </comment>
    <comment ref="D9" authorId="0">
      <text>
        <r>
          <rPr>
            <sz val="12"/>
            <color rgb="FFE7FDFF"/>
            <rFont val="Arial Narrow"/>
            <family val="2"/>
            <charset val="1"/>
          </rPr>
          <t xml:space="preserve">Тест - неприпустиме виведення випадкових чисел
</t>
        </r>
      </text>
    </comment>
    <comment ref="D10" authorId="0">
      <text>
        <r>
          <rPr>
            <sz val="12"/>
            <color rgb="FFE7FDFF"/>
            <rFont val="Arial Narrow"/>
            <family val="2"/>
            <charset val="1"/>
          </rPr>
          <t xml:space="preserve">Мотель - відсутня програма</t>
        </r>
      </text>
    </comment>
    <comment ref="D11" authorId="0">
      <text>
        <r>
          <rPr>
            <sz val="12"/>
            <color rgb="FFE7FDFF"/>
            <rFont val="Arial Narrow"/>
            <family val="2"/>
            <charset val="1"/>
          </rPr>
          <t xml:space="preserve">Мотель - відсутня програма
Тест - Range check error крім тесту 9</t>
        </r>
      </text>
    </comment>
    <comment ref="D12" authorId="0">
      <text>
        <r>
          <rPr>
            <sz val="12"/>
            <color rgb="FFE7FDFF"/>
            <rFont val="Arial Narrow"/>
            <family val="2"/>
            <charset val="1"/>
          </rPr>
          <t xml:space="preserve">Помилка компіляції</t>
        </r>
      </text>
    </comment>
    <comment ref="D13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 програми</t>
        </r>
      </text>
    </comment>
    <comment ref="D14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 файли</t>
        </r>
      </text>
    </comment>
    <comment ref="D15" authorId="0">
      <text>
        <r>
          <rPr>
            <sz val="12"/>
            <color rgb="FFE7FDFF"/>
            <rFont val="Arial Narrow"/>
            <family val="2"/>
            <charset val="1"/>
          </rPr>
          <t xml:space="preserve">Мотель і Тест - помилка компіляції</t>
        </r>
      </text>
    </comment>
    <comment ref="D16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 по хворобі
</t>
        </r>
      </text>
    </comment>
    <comment ref="D112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E1" authorId="0">
      <text>
        <r>
          <rPr>
            <sz val="10"/>
            <rFont val="Arial Cyr"/>
            <family val="2"/>
            <charset val="204"/>
          </rPr>
          <t xml:space="preserve">Бали присуджуються у разі успішного проходження </t>
        </r>
        <r>
          <rPr>
            <i val="true"/>
            <sz val="12"/>
            <color rgb="FFE7FDFF"/>
            <rFont val="Arial Narrow"/>
            <family val="2"/>
            <charset val="1"/>
          </rPr>
          <t xml:space="preserve">всіх </t>
        </r>
        <r>
          <rPr>
            <sz val="12"/>
            <color rgb="FFE7FDFF"/>
            <rFont val="Arial Narrow"/>
            <family val="2"/>
            <charset val="1"/>
          </rPr>
          <t xml:space="preserve">попередніх тестів</t>
        </r>
      </text>
    </comment>
    <comment ref="E2" authorId="0">
      <text>
        <r>
          <rPr>
            <sz val="12"/>
            <color rgb="FFE7FDFF"/>
            <rFont val="Arial Narrow"/>
            <family val="2"/>
            <charset val="1"/>
          </rPr>
          <t xml:space="preserve">Камінці - 6-ий тест Stack overflow error</t>
        </r>
      </text>
    </comment>
    <comment ref="E3" authorId="0">
      <text>
        <r>
          <rPr>
            <sz val="12"/>
            <color rgb="FFE7FDFF"/>
            <rFont val="Arial Narrow"/>
            <family val="2"/>
            <charset val="1"/>
          </rPr>
          <t xml:space="preserve">Камінці - проходиться лише тест 4</t>
        </r>
      </text>
    </comment>
    <comment ref="E4" authorId="0">
      <text>
        <r>
          <rPr>
            <sz val="12"/>
            <color rgb="FFE7FDFF"/>
            <rFont val="Arial Narrow"/>
            <family val="2"/>
            <charset val="1"/>
          </rPr>
          <t xml:space="preserve">Офіцери - Перші 2 тести
Камінці - відсутня програма</t>
        </r>
      </text>
    </comment>
    <comment ref="E5" authorId="0">
      <text>
        <r>
          <rPr>
            <sz val="12"/>
            <color rgb="FFE7FDFF"/>
            <rFont val="Arial Narrow"/>
            <family val="2"/>
            <charset val="1"/>
          </rPr>
          <t xml:space="preserve">Камінці - неповна відповідь</t>
        </r>
      </text>
    </comment>
    <comment ref="E7" authorId="0">
      <text>
        <r>
          <rPr>
            <sz val="12"/>
            <color rgb="FFE7FDFF"/>
            <rFont val="Arial Narrow"/>
            <family val="2"/>
            <charset val="1"/>
          </rPr>
          <t xml:space="preserve">Камінці - всі тести Range check error</t>
        </r>
      </text>
    </comment>
    <comment ref="E8" authorId="0">
      <text>
        <r>
          <rPr>
            <sz val="12"/>
            <color rgb="FFE7FDFF"/>
            <rFont val="Arial Narrow"/>
            <family val="2"/>
            <charset val="1"/>
          </rPr>
          <t xml:space="preserve">Офіцери - дуже довго,
Камінці - перші й останні два тести Range check error</t>
        </r>
      </text>
    </comment>
    <comment ref="E10" authorId="0">
      <text>
        <r>
          <rPr>
            <sz val="12"/>
            <color rgb="FFE7FDFF"/>
            <rFont val="Arial Narrow"/>
            <family val="2"/>
            <charset val="1"/>
          </rPr>
          <t xml:space="preserve">Офіцери - перші два тести не пройдено
Камінці - програма відсутня</t>
        </r>
      </text>
    </comment>
    <comment ref="E11" authorId="0">
      <text>
        <r>
          <rPr>
            <sz val="12"/>
            <color rgb="FFE7FDFF"/>
            <rFont val="Arial Narrow"/>
            <family val="2"/>
            <charset val="1"/>
          </rPr>
          <t xml:space="preserve">Офіцери - 2-ий тест не проходить за часом
Камінці - 1-ий тест не пройдено
</t>
        </r>
      </text>
    </comment>
    <comment ref="E12" authorId="0">
      <text>
        <r>
          <rPr>
            <sz val="12"/>
            <color rgb="FFE7FDFF"/>
            <rFont val="Arial Narrow"/>
            <family val="2"/>
            <charset val="1"/>
          </rPr>
          <t xml:space="preserve">Камінці - відсутня програма</t>
        </r>
      </text>
    </comment>
    <comment ref="E13" authorId="0">
      <text>
        <r>
          <rPr>
            <sz val="12"/>
            <color rgb="FFE7FDFF"/>
            <rFont val="Arial Narrow"/>
            <family val="2"/>
            <charset val="1"/>
          </rPr>
          <t xml:space="preserve">Офіцери - 1-ий тест не проходить за часом + неправильний порядок виведення
Камінці - відсутня програма</t>
        </r>
      </text>
    </comment>
    <comment ref="E14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E15" authorId="0">
      <text>
        <r>
          <rPr>
            <sz val="12"/>
            <color rgb="FFE7FDFF"/>
            <rFont val="Arial Narrow"/>
            <family val="2"/>
            <charset val="1"/>
          </rPr>
          <t xml:space="preserve">Офіцери - Range check error
Камінці - відсутня програма</t>
        </r>
      </text>
    </comment>
    <comment ref="E16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E112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F2" authorId="0">
      <text>
        <r>
          <rPr>
            <sz val="12"/>
            <color rgb="FFE7FDFF"/>
            <rFont val="Arial Narrow"/>
            <family val="2"/>
            <charset val="1"/>
          </rPr>
          <t xml:space="preserve">Корінь - не пройдено тести:
5-8 - період (0);
11-12 -  час;  21-24 </t>
        </r>
      </text>
    </comment>
    <comment ref="F3" authorId="0">
      <text>
        <r>
          <rPr>
            <sz val="12"/>
            <color rgb="FFE7FDFF"/>
            <rFont val="Arial Narrow"/>
            <family val="2"/>
            <charset val="1"/>
          </rPr>
          <t xml:space="preserve">Корінь - пройдено лише перші 2 тести</t>
        </r>
      </text>
    </comment>
    <comment ref="F5" authorId="0">
      <text>
        <r>
          <rPr>
            <sz val="12"/>
            <color rgb="FFE7FDFF"/>
            <rFont val="Arial Narrow"/>
            <family val="2"/>
            <charset val="1"/>
          </rPr>
          <t xml:space="preserve">Корінь - все без довгої арифметики</t>
        </r>
      </text>
    </comment>
    <comment ref="F6" authorId="0">
      <text>
        <r>
          <rPr>
            <sz val="12"/>
            <color rgb="FFE7FDFF"/>
            <rFont val="Arial Narrow"/>
            <family val="2"/>
            <charset val="1"/>
          </rPr>
          <t xml:space="preserve">Сновида - відсутня програма</t>
        </r>
      </text>
    </comment>
    <comment ref="F7" authorId="0">
      <text>
        <r>
          <rPr>
            <sz val="12"/>
            <color rgb="FFE7FDFF"/>
            <rFont val="Arial Narrow"/>
            <family val="2"/>
            <charset val="1"/>
          </rPr>
          <t xml:space="preserve">Сновида - є виведення на екран
Корінь - пройдено лише перші 2 тести</t>
        </r>
      </text>
    </comment>
    <comment ref="F8" authorId="0">
      <text>
        <r>
          <rPr>
            <sz val="12"/>
            <color rgb="FFE7FDFF"/>
            <rFont val="Arial Narrow"/>
            <family val="2"/>
            <charset val="1"/>
          </rPr>
          <t xml:space="preserve">Корінь - Invalid numeric format або помилка в останній цифрі відповіді</t>
        </r>
      </text>
    </comment>
    <comment ref="F9" authorId="0">
      <text>
        <r>
          <rPr>
            <sz val="12"/>
            <color rgb="FFE7FDFF"/>
            <rFont val="Arial Narrow"/>
            <family val="2"/>
            <charset val="1"/>
          </rPr>
          <t xml:space="preserve">Корінь - пройдено лише тест 6</t>
        </r>
      </text>
    </comment>
    <comment ref="F10" authorId="0">
      <text>
        <r>
          <rPr>
            <sz val="12"/>
            <color rgb="FFE7FDFF"/>
            <rFont val="Arial Narrow"/>
            <family val="2"/>
            <charset val="1"/>
          </rPr>
          <t xml:space="preserve">Сновида - останні 2 тести не проходять за часом</t>
        </r>
      </text>
    </comment>
    <comment ref="F11" authorId="0">
      <text>
        <r>
          <rPr>
            <sz val="12"/>
            <color rgb="FFE7FDFF"/>
            <rFont val="Arial Narrow"/>
            <family val="2"/>
            <charset val="1"/>
          </rPr>
          <t xml:space="preserve">Корінь - Invalid numeric format або неправильний формат відповіді</t>
        </r>
      </text>
    </comment>
    <comment ref="F12" authorId="0">
      <text>
        <r>
          <rPr>
            <sz val="12"/>
            <color rgb="FFE7FDFF"/>
            <rFont val="Arial Narrow"/>
            <family val="2"/>
            <charset val="1"/>
          </rPr>
          <t xml:space="preserve">Корінь - Invalid numeric format, порожній файл відповіді або наближення з надвишком</t>
        </r>
      </text>
    </comment>
    <comment ref="F14" authorId="0">
      <text>
        <r>
          <rPr>
            <sz val="12"/>
            <color rgb="FFE7FDFF"/>
            <rFont val="Arial Narrow"/>
            <family val="2"/>
            <charset val="1"/>
          </rPr>
          <t xml:space="preserve">Корінь - відсутня програма</t>
        </r>
      </text>
    </comment>
    <comment ref="F15" authorId="0">
      <text>
        <r>
          <rPr>
            <sz val="12"/>
            <color rgb="FFE7FDFF"/>
            <rFont val="Arial Narrow"/>
            <family val="2"/>
            <charset val="1"/>
          </rPr>
          <t xml:space="preserve">Корінь - завелика або замала кількість цифр, пройдено лише тест 6</t>
        </r>
      </text>
    </comment>
    <comment ref="F16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F112" authorId="0">
      <text>
        <r>
          <rPr>
            <sz val="12"/>
            <color rgb="FFE7FDFF"/>
            <rFont val="Arial Narrow"/>
            <family val="2"/>
            <charset val="1"/>
          </rPr>
          <t xml:space="preserve">Корінь - є виведення на екран, не задовольняються вимоги за часом</t>
        </r>
      </text>
    </comment>
    <comment ref="G1" authorId="0">
      <text>
        <r>
          <rPr>
            <sz val="12"/>
            <color rgb="FFE7FDFF"/>
            <rFont val="Arial Narrow"/>
            <family val="2"/>
            <charset val="1"/>
          </rPr>
          <t xml:space="preserve">Common - відповідь 0 зараховується у разі правильного проходження одного з двох попередніх двох тестыв (одного - 13 - для 14-15) з відповіддю, відмінною від 0;
Labirint - останній тест зараховано у разі успішного проходження всіх попередніх тестів</t>
        </r>
      </text>
    </comment>
    <comment ref="G3" authorId="0">
      <text>
        <r>
          <rPr>
            <sz val="12"/>
            <color rgb="FFE7FDFF"/>
            <rFont val="Arial Narrow"/>
            <family val="2"/>
            <charset val="1"/>
          </rPr>
          <t xml:space="preserve">Час - на грані</t>
        </r>
      </text>
    </comment>
    <comment ref="G4" authorId="0">
      <text>
        <r>
          <rPr>
            <sz val="12"/>
            <color rgb="FFE7FDFF"/>
            <rFont val="Arial Narrow"/>
            <family val="2"/>
            <charset val="1"/>
          </rPr>
          <t xml:space="preserve">Common - пройдено лише тести 1-6, 11, 13-15</t>
        </r>
      </text>
    </comment>
    <comment ref="G6" authorId="0">
      <text>
        <r>
          <rPr>
            <sz val="12"/>
            <color rgb="FFE7FDFF"/>
            <rFont val="Arial Narrow"/>
            <family val="2"/>
            <charset val="1"/>
          </rPr>
          <t xml:space="preserve">Common -правильна відповідь 0 лише в тестах 5-6, 11-12</t>
        </r>
      </text>
    </comment>
    <comment ref="G7" authorId="0">
      <text>
        <r>
          <rPr>
            <sz val="12"/>
            <color rgb="FFE7FDFF"/>
            <rFont val="Arial Narrow"/>
            <family val="2"/>
            <charset val="1"/>
          </rPr>
          <t xml:space="preserve">Common - лише тести 1, 3, 5-6</t>
        </r>
      </text>
    </comment>
    <comment ref="G8" authorId="0">
      <text>
        <r>
          <rPr>
            <sz val="12"/>
            <color rgb="FFE7FDFF"/>
            <rFont val="Arial Narrow"/>
            <family val="2"/>
            <charset val="1"/>
          </rPr>
          <t xml:space="preserve">Common - помилка компіляції
Labirint - лише тест 3</t>
        </r>
      </text>
    </comment>
    <comment ref="G9" authorId="0">
      <text>
        <r>
          <rPr>
            <sz val="12"/>
            <color rgb="FFE7FDFF"/>
            <rFont val="Arial Narrow"/>
            <family val="2"/>
            <charset val="1"/>
          </rPr>
          <t xml:space="preserve">Common - лише тести 3-6;
Labirint - лише тест3</t>
        </r>
      </text>
    </comment>
    <comment ref="G12" authorId="0">
      <text>
        <r>
          <rPr>
            <sz val="12"/>
            <color rgb="FFE7FDFF"/>
            <rFont val="Arial Narrow"/>
            <family val="2"/>
            <charset val="1"/>
          </rPr>
          <t xml:space="preserve">Common - відсутня програма</t>
        </r>
      </text>
    </comment>
    <comment ref="G14" authorId="0">
      <text>
        <r>
          <rPr>
            <sz val="12"/>
            <color rgb="FFE7FDFF"/>
            <rFont val="Arial Narrow"/>
            <family val="2"/>
            <charset val="1"/>
          </rPr>
          <t xml:space="preserve">Common - відсутня програма</t>
        </r>
      </text>
    </comment>
    <comment ref="G15" authorId="0">
      <text>
        <r>
          <rPr>
            <sz val="12"/>
            <color rgb="FFE7FDFF"/>
            <rFont val="Arial Narrow"/>
            <family val="2"/>
            <charset val="1"/>
          </rPr>
          <t xml:space="preserve">Common - відсутня програма
Labirint - час</t>
        </r>
      </text>
    </comment>
    <comment ref="G112" authorId="0">
      <text>
        <r>
          <rPr>
            <sz val="12"/>
            <color rgb="FFE7FDFF"/>
            <rFont val="Arial Narrow"/>
            <family val="2"/>
            <charset val="1"/>
          </rPr>
          <t xml:space="preserve">Labirint - у програмі S замість Ш </t>
        </r>
      </text>
    </comment>
    <comment ref="H9" authorId="0">
      <text>
        <r>
          <rPr>
            <sz val="12"/>
            <color rgb="FFE7FDFF"/>
            <rFont val="Arial Narrow"/>
            <family val="2"/>
            <charset val="1"/>
          </rPr>
          <t xml:space="preserve">Криптограма - Range check error + виведення на екран</t>
        </r>
      </text>
    </comment>
    <comment ref="H15" authorId="0">
      <text>
        <r>
          <rPr>
            <sz val="12"/>
            <color rgb="FFE7FDFF"/>
            <rFont val="Arial Narrow"/>
            <family val="2"/>
            <charset val="1"/>
          </rPr>
          <t xml:space="preserve">Файли програм відсутні</t>
        </r>
      </text>
    </comment>
    <comment ref="H16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I2" authorId="0">
      <text>
        <r>
          <rPr>
            <sz val="12"/>
            <color rgb="FFE7FDFF"/>
            <rFont val="Arial Narrow"/>
            <family val="2"/>
            <charset val="1"/>
          </rPr>
          <t xml:space="preserve">Гра-1 - недотримано правила гри</t>
        </r>
      </text>
    </comment>
    <comment ref="I3" authorId="0">
      <text>
        <r>
          <rPr>
            <sz val="12"/>
            <color rgb="FFE7FDFF"/>
            <rFont val="Arial Narrow"/>
            <family val="2"/>
            <charset val="1"/>
          </rPr>
          <t xml:space="preserve">Гра-1 - не завжди дотримано правила гри</t>
        </r>
      </text>
    </comment>
    <comment ref="I4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I7" authorId="0">
      <text>
        <r>
          <rPr>
            <sz val="12"/>
            <color rgb="FFE7FDFF"/>
            <rFont val="Arial Narrow"/>
            <family val="2"/>
            <charset val="1"/>
          </rPr>
          <t xml:space="preserve">Гра-1 - є лише game1.dat</t>
        </r>
      </text>
    </comment>
    <comment ref="I8" authorId="0">
      <text>
        <r>
          <rPr>
            <sz val="12"/>
            <color rgb="FFE7FDFF"/>
            <rFont val="Arial Narrow"/>
            <family val="2"/>
            <charset val="1"/>
          </rPr>
          <t xml:space="preserve">Прогноз - перевернуте зображення, неможливість гри</t>
        </r>
      </text>
    </comment>
    <comment ref="I9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I10" authorId="0">
      <text>
        <r>
          <rPr>
            <sz val="12"/>
            <color rgb="FFE7FDFF"/>
            <rFont val="Arial Narrow"/>
            <family val="2"/>
            <charset val="1"/>
          </rPr>
          <t xml:space="preserve">Прогноз - Range check error</t>
        </r>
      </text>
    </comment>
    <comment ref="I13" authorId="0">
      <text>
        <r>
          <rPr>
            <sz val="12"/>
            <color rgb="FFE7FDFF"/>
            <rFont val="Arial Narrow"/>
            <family val="2"/>
            <charset val="1"/>
          </rPr>
          <t xml:space="preserve">Прогноз - відсутня програма
Гра-1 - треба перевірити графіку і правила гри</t>
        </r>
      </text>
    </comment>
    <comment ref="I15" authorId="0">
      <text>
        <r>
          <rPr>
            <sz val="12"/>
            <color rgb="FFE7FDFF"/>
            <rFont val="Arial Narrow"/>
            <family val="2"/>
            <charset val="1"/>
          </rPr>
          <t xml:space="preserve">Гра-1 - програма відсутня</t>
        </r>
      </text>
    </comment>
    <comment ref="I16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I112" authorId="0">
      <text>
        <r>
          <rPr>
            <sz val="12"/>
            <color rgb="FFE7FDFF"/>
            <rFont val="Arial Narrow"/>
            <family val="2"/>
            <charset val="1"/>
          </rPr>
          <t xml:space="preserve">Гра-1 - відсутня програма</t>
        </r>
      </text>
    </comment>
    <comment ref="J3" authorId="0">
      <text>
        <r>
          <rPr>
            <sz val="12"/>
            <color rgb="FFE7FDFF"/>
            <rFont val="Arial Narrow"/>
            <family val="2"/>
            <charset val="1"/>
          </rPr>
          <t xml:space="preserve">Множники - Run time error на процедурі Dec</t>
        </r>
      </text>
    </comment>
    <comment ref="J4" authorId="0">
      <text>
        <r>
          <rPr>
            <sz val="12"/>
            <color rgb="FFE7FDFF"/>
            <rFont val="Arial Narrow"/>
            <family val="2"/>
            <charset val="1"/>
          </rPr>
          <t xml:space="preserve">Множники - помилка при компіляції</t>
        </r>
      </text>
    </comment>
    <comment ref="J6" authorId="0">
      <text>
        <r>
          <rPr>
            <sz val="12"/>
            <color rgb="FFE7FDFF"/>
            <rFont val="Arial Narrow"/>
            <family val="2"/>
            <charset val="1"/>
          </rPr>
          <t xml:space="preserve">Множники - відсутня програма</t>
        </r>
      </text>
    </comment>
    <comment ref="J7" authorId="0">
      <text>
        <r>
          <rPr>
            <sz val="12"/>
            <color rgb="FFE7FDFF"/>
            <rFont val="Arial Narrow"/>
            <family val="2"/>
            <charset val="1"/>
          </rPr>
          <t xml:space="preserve">Множники - відсутня програма</t>
        </r>
      </text>
    </comment>
    <comment ref="J8" authorId="0">
      <text>
        <r>
          <rPr>
            <sz val="12"/>
            <color rgb="FFE7FDFF"/>
            <rFont val="Arial Narrow"/>
            <family val="2"/>
            <charset val="1"/>
          </rPr>
          <t xml:space="preserve">Множники - відсутня програма</t>
        </r>
      </text>
    </comment>
    <comment ref="J9" authorId="0">
      <text>
        <r>
          <rPr>
            <sz val="12"/>
            <color rgb="FFE7FDFF"/>
            <rFont val="Arial Narrow"/>
            <family val="2"/>
            <charset val="1"/>
          </rPr>
          <t xml:space="preserve">Множники - відсутня програма</t>
        </r>
      </text>
    </comment>
    <comment ref="J11" authorId="0">
      <text>
        <r>
          <rPr>
            <sz val="12"/>
            <color rgb="FFE7FDFF"/>
            <rFont val="Arial Narrow"/>
            <family val="2"/>
            <charset val="1"/>
          </rPr>
          <t xml:space="preserve">Множники - Range check error</t>
        </r>
      </text>
    </comment>
    <comment ref="J13" authorId="0">
      <text>
        <r>
          <rPr>
            <sz val="12"/>
            <color rgb="FFE7FDFF"/>
            <rFont val="Arial Narrow"/>
            <family val="2"/>
            <charset val="1"/>
          </rPr>
          <t xml:space="preserve">Множники - відсутня програма</t>
        </r>
      </text>
    </comment>
    <comment ref="J14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J15" authorId="0">
      <text>
        <r>
          <rPr>
            <sz val="12"/>
            <color rgb="FFE7FDFF"/>
            <rFont val="Arial Narrow"/>
            <family val="2"/>
            <charset val="1"/>
          </rPr>
          <t xml:space="preserve">Шашка на кубі - відсутня програма</t>
        </r>
      </text>
    </comment>
    <comment ref="J16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J112" authorId="0">
      <text>
        <r>
          <rPr>
            <sz val="12"/>
            <color rgb="FFE7FDFF"/>
            <rFont val="Arial Narrow"/>
            <family val="2"/>
            <charset val="1"/>
          </rPr>
          <t xml:space="preserve">Дискваліфіковано</t>
        </r>
      </text>
    </comment>
    <comment ref="K2" authorId="0">
      <text>
        <r>
          <rPr>
            <sz val="12"/>
            <color rgb="FFE7FDFF"/>
            <rFont val="Arial Narrow"/>
            <family val="2"/>
            <charset val="1"/>
          </rPr>
          <t xml:space="preserve">Поверхня куба - неправильний формат відповіді</t>
        </r>
      </text>
    </comment>
    <comment ref="K6" authorId="0">
      <text>
        <r>
          <rPr>
            <sz val="12"/>
            <color rgb="FFE7FDFF"/>
            <rFont val="Arial Narrow"/>
            <family val="2"/>
            <charset val="1"/>
          </rPr>
          <t xml:space="preserve">Підпослідовність - відсутня програма</t>
        </r>
      </text>
    </comment>
    <comment ref="K7" authorId="0">
      <text>
        <r>
          <rPr>
            <sz val="12"/>
            <color rgb="FFE7FDFF"/>
            <rFont val="Arial Narrow"/>
            <family val="2"/>
            <charset val="1"/>
          </rPr>
          <t xml:space="preserve">Порожні файли відповіді, для підпослідовності всі відповіді правильні</t>
        </r>
      </text>
    </comment>
    <comment ref="K8" authorId="0">
      <text>
        <r>
          <rPr>
            <sz val="12"/>
            <color rgb="FFE7FDFF"/>
            <rFont val="Arial Narrow"/>
            <family val="2"/>
            <charset val="1"/>
          </rPr>
          <t xml:space="preserve">Поверхня куба - відсутня програма</t>
        </r>
      </text>
    </comment>
    <comment ref="K12" authorId="0">
      <text>
        <r>
          <rPr>
            <sz val="12"/>
            <color rgb="FFE7FDFF"/>
            <rFont val="Arial Narrow"/>
            <family val="2"/>
            <charset val="1"/>
          </rPr>
          <t xml:space="preserve">Поверхня куба - відсутня програма</t>
        </r>
      </text>
    </comment>
    <comment ref="K14" authorId="0">
      <text>
        <r>
          <rPr>
            <sz val="12"/>
            <color rgb="FFE7FDFF"/>
            <rFont val="Arial Narrow"/>
            <family val="2"/>
            <charset val="1"/>
          </rPr>
          <t xml:space="preserve">Поверхня куба - выдсутня програма</t>
        </r>
      </text>
    </comment>
    <comment ref="K15" authorId="0">
      <text>
        <r>
          <rPr>
            <sz val="12"/>
            <color rgb="FFE7FDFF"/>
            <rFont val="Arial Narrow"/>
            <family val="2"/>
            <charset val="1"/>
          </rPr>
          <t xml:space="preserve">Поверхня куба - відсутня програма</t>
        </r>
      </text>
    </comment>
    <comment ref="K16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112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E112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F112" authorId="0">
      <text>
        <r>
          <rPr>
            <sz val="12"/>
            <color rgb="FFE7FDFF"/>
            <rFont val="Arial Narrow"/>
            <family val="2"/>
            <charset val="1"/>
          </rPr>
          <t xml:space="preserve">Корінь - є виведення на екран, не задовольняються вимоги за часом</t>
        </r>
      </text>
    </comment>
    <comment ref="G112" authorId="0">
      <text>
        <r>
          <rPr>
            <sz val="12"/>
            <color rgb="FFE7FDFF"/>
            <rFont val="Arial Narrow"/>
            <family val="2"/>
            <charset val="1"/>
          </rPr>
          <t xml:space="preserve">Labirint - у програмі S замість Ш </t>
        </r>
      </text>
    </comment>
    <comment ref="I112" authorId="0">
      <text>
        <r>
          <rPr>
            <sz val="12"/>
            <color rgb="FFE7FDFF"/>
            <rFont val="Arial Narrow"/>
            <family val="2"/>
            <charset val="1"/>
          </rPr>
          <t xml:space="preserve">Гра-1 - відсутня програма</t>
        </r>
      </text>
    </comment>
    <comment ref="J112" authorId="0">
      <text>
        <r>
          <rPr>
            <sz val="12"/>
            <color rgb="FFE7FDFF"/>
            <rFont val="Arial Narrow"/>
            <family val="2"/>
            <charset val="1"/>
          </rPr>
          <t xml:space="preserve">Дискваліфіковано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3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5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6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7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ПЛ НТУУ "КПІ"</t>
        </r>
      </text>
    </comment>
    <comment ref="B8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9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Гімназія</t>
        </r>
      </text>
    </comment>
    <comment ref="B10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фізико-математичний ліцей</t>
        </r>
      </text>
    </comment>
    <comment ref="B11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B12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Русанівський ліцей</t>
        </r>
      </text>
    </comment>
    <comment ref="B13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ліцей "Поділ"</t>
        </r>
      </text>
    </comment>
    <comment ref="B1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D14" authorId="0">
      <text>
        <r>
          <rPr>
            <sz val="14"/>
            <color rgb="FFE7FDFF"/>
            <rFont val="Times New Roman"/>
            <family val="1"/>
            <charset val="1"/>
          </rPr>
          <t xml:space="preserve">Відсутній каталог</t>
        </r>
      </text>
    </comment>
    <comment ref="D110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E13" authorId="0">
      <text>
        <r>
          <rPr>
            <sz val="14"/>
            <color rgb="FFE7FDFF"/>
            <rFont val="Times New Roman"/>
            <family val="1"/>
            <charset val="1"/>
          </rPr>
          <t xml:space="preserve">Відсутній</t>
        </r>
      </text>
    </comment>
    <comment ref="E110" authorId="0">
      <text>
        <r>
          <rPr>
            <sz val="12"/>
            <color rgb="FFE7FDFF"/>
            <rFont val="Arial Narrow"/>
            <family val="2"/>
            <charset val="1"/>
          </rPr>
          <t xml:space="preserve">Відсутній</t>
        </r>
      </text>
    </comment>
    <comment ref="F2" authorId="0">
      <text>
        <r>
          <rPr>
            <sz val="14"/>
            <color rgb="FFE7FDFF"/>
            <rFont val="Times New Roman"/>
            <family val="1"/>
            <charset val="1"/>
          </rPr>
          <t xml:space="preserve">Виведення на екран</t>
        </r>
      </text>
    </comment>
    <comment ref="F8" authorId="0">
      <text>
        <r>
          <rPr>
            <sz val="14"/>
            <color rgb="FFE7FDFF"/>
            <rFont val="Times New Roman"/>
            <family val="1"/>
            <charset val="1"/>
          </rPr>
          <t xml:space="preserve">Зависання на тесті 1 privat</t>
        </r>
      </text>
    </comment>
    <comment ref="F9" authorId="0">
      <text>
        <r>
          <rPr>
            <sz val="14"/>
            <color rgb="FFE7FDFF"/>
            <rFont val="Times New Roman"/>
            <family val="1"/>
            <charset val="1"/>
          </rPr>
          <t xml:space="preserve">Зависання на тесті 4 privat</t>
        </r>
      </text>
    </comment>
    <comment ref="F13" authorId="0">
      <text>
        <r>
          <rPr>
            <sz val="14"/>
            <color rgb="FFE7FDFF"/>
            <rFont val="Times New Roman"/>
            <family val="1"/>
            <charset val="1"/>
          </rPr>
          <t xml:space="preserve">Відсутній</t>
        </r>
      </text>
    </comment>
    <comment ref="F15" authorId="0">
      <text>
        <r>
          <rPr>
            <sz val="14"/>
            <color rgb="FFE7FDFF"/>
            <rFont val="Times New Roman"/>
            <family val="1"/>
            <charset val="1"/>
          </rPr>
          <t xml:space="preserve">Помилка компіляції solid Зависання на тесті 4 privat</t>
        </r>
      </text>
    </comment>
    <comment ref="F110" authorId="0">
      <text>
        <r>
          <rPr>
            <sz val="12"/>
            <color rgb="FFE7FDFF"/>
            <rFont val="Arial Narrow"/>
            <family val="2"/>
            <charset val="1"/>
          </rPr>
          <t xml:space="preserve">Корінь - є виведення на екран, не задовольняються вимоги за часом</t>
        </r>
      </text>
    </comment>
    <comment ref="G110" authorId="0">
      <text>
        <r>
          <rPr>
            <sz val="12"/>
            <color rgb="FFE7FDFF"/>
            <rFont val="Arial Narrow"/>
            <family val="2"/>
            <charset val="1"/>
          </rPr>
          <t xml:space="preserve">Labirint - у програмі S замість Ш </t>
        </r>
      </text>
    </comment>
    <comment ref="H13" authorId="0">
      <text>
        <r>
          <rPr>
            <sz val="14"/>
            <color rgb="FFE7FDFF"/>
            <rFont val="Times New Roman"/>
            <family val="1"/>
            <charset val="1"/>
          </rPr>
          <t xml:space="preserve">Відсутній</t>
        </r>
      </text>
    </comment>
    <comment ref="I110" authorId="0">
      <text>
        <r>
          <rPr>
            <sz val="12"/>
            <color rgb="FFE7FDFF"/>
            <rFont val="Arial Narrow"/>
            <family val="2"/>
            <charset val="1"/>
          </rPr>
          <t xml:space="preserve">Гра-1 - відсутня програма</t>
        </r>
      </text>
    </comment>
    <comment ref="J3" authorId="0">
      <text>
        <r>
          <rPr>
            <sz val="14"/>
            <color rgb="FFE7FDFF"/>
            <rFont val="Times New Roman"/>
            <family val="1"/>
            <charset val="1"/>
          </rPr>
          <t xml:space="preserve">Відсутній</t>
        </r>
      </text>
    </comment>
    <comment ref="J15" authorId="0">
      <text>
        <r>
          <rPr>
            <sz val="14"/>
            <color rgb="FFE7FDFF"/>
            <rFont val="Times New Roman"/>
            <family val="1"/>
            <charset val="1"/>
          </rPr>
          <t xml:space="preserve">Відсутній</t>
        </r>
      </text>
    </comment>
    <comment ref="J110" authorId="0">
      <text>
        <r>
          <rPr>
            <sz val="12"/>
            <color rgb="FFE7FDFF"/>
            <rFont val="Arial Narrow"/>
            <family val="2"/>
            <charset val="1"/>
          </rPr>
          <t xml:space="preserve">Дискваліфіковано</t>
        </r>
      </text>
    </comment>
    <comment ref="K15" authorId="0">
      <text>
        <r>
          <rPr>
            <sz val="14"/>
            <color rgb="FFE7FDFF"/>
            <rFont val="Times New Roman"/>
            <family val="1"/>
            <charset val="1"/>
          </rPr>
          <t xml:space="preserve">Відсутній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2" authorId="0">
      <text>
        <r>
          <rPr>
            <sz val="12"/>
            <color rgb="FFE7FDFF"/>
            <rFont val="Arial"/>
            <family val="2"/>
            <charset val="204"/>
          </rPr>
          <t xml:space="preserve">Явне використання відомостей про вихідні файли</t>
        </r>
      </text>
    </comment>
    <comment ref="A15" authorId="0">
      <text>
        <r>
          <rPr>
            <sz val="12"/>
            <color rgb="FFE7FDFF"/>
            <rFont val="Arial"/>
            <family val="2"/>
            <charset val="204"/>
          </rPr>
          <t xml:space="preserve">Явне використання відомостей про вихідні файли</t>
        </r>
      </text>
    </comment>
    <comment ref="A28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Дискваліфіковано за наявність на другому турі роздруківки апрограми tax.pas</t>
        </r>
      </text>
    </comment>
    <comment ref="B2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B3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4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5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фізико-математичний ліцей</t>
        </r>
      </text>
    </comment>
    <comment ref="B6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Гімназія</t>
        </r>
      </text>
    </comment>
    <comment ref="B7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8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9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10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1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12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B13" authorId="0">
      <text>
        <r>
          <rPr>
            <sz val="12"/>
            <color rgb="FFE7FDFF"/>
            <rFont val="Arial Cyr"/>
            <family val="2"/>
            <charset val="204"/>
          </rPr>
          <t xml:space="preserve">Український колеж ім. В.О.Сухомлинського</t>
        </r>
      </text>
    </comment>
    <comment ref="B1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5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Гімназія</t>
        </r>
      </text>
    </comment>
    <comment ref="B16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17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Русанівський ліцей</t>
        </r>
      </text>
    </comment>
    <comment ref="B18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B19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B20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21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2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25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26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Ліцей</t>
        </r>
      </text>
    </comment>
    <comment ref="B27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28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D12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D19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D26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D27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E26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E27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F9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F26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F27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G1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Результати першого тестування двічі враховували тести 3-4</t>
        </r>
      </text>
    </comment>
    <comment ref="G25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G26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G27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H7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H24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H25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H26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H27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I9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I17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I21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I24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I25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I26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I27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J9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J24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J25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J26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J27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K24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K25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K26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L26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M4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M9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M22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M23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M24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  <comment ref="M25" authorId="0">
      <text>
        <r>
          <rPr>
            <b val="true"/>
            <sz val="12"/>
            <color rgb="FFE7FDFF"/>
            <rFont val="Times New Roman"/>
            <family val="1"/>
            <charset val="204"/>
          </rPr>
          <t xml:space="preserve">Відсутній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Гімназія</t>
        </r>
      </text>
    </comment>
    <comment ref="B3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B5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6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7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8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9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0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1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B12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13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B14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15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6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7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8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3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5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6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7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8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9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0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1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2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3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1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5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16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E11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Відсутня</t>
        </r>
      </text>
    </comment>
    <comment ref="E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F15" authorId="0">
      <text>
        <r>
          <rPr>
            <sz val="12"/>
            <color rgb="FFE7FDFF"/>
            <rFont val="Tahoma"/>
            <family val="2"/>
            <charset val="204"/>
          </rPr>
          <t xml:space="preserve">Пішов, попрацювавши  годину</t>
        </r>
      </text>
    </comment>
    <comment ref="F16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G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G16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1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16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1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16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1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16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1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16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M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M1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N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N1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P3" authorId="0">
      <text>
        <r>
          <rPr>
            <sz val="12"/>
            <color rgb="FFE7FDFF"/>
            <rFont val="Tahoma"/>
            <family val="2"/>
            <charset val="204"/>
          </rPr>
          <t xml:space="preserve">NetOI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3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5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6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7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8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9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0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11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2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3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5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фізико-математичний ліцей</t>
        </r>
      </text>
    </comment>
    <comment ref="B16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7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18" authorId="0">
      <text>
        <r>
          <rPr>
            <sz val="12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B19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20" authorId="0">
      <text>
        <r>
          <rPr>
            <sz val="12"/>
            <color rgb="FFE7FDFF"/>
            <rFont val="Tahoma"/>
            <family val="2"/>
            <charset val="204"/>
          </rPr>
          <t xml:space="preserve">Природничо-науковий ліцей</t>
        </r>
      </text>
    </comment>
    <comment ref="B21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фізико-математичний ліцей</t>
        </r>
      </text>
    </comment>
    <comment ref="B22" authorId="0">
      <text>
        <r>
          <rPr>
            <sz val="8"/>
            <color rgb="FFE7FDFF"/>
            <rFont val="Tahoma"/>
            <family val="2"/>
            <charset val="204"/>
          </rPr>
          <t xml:space="preserve">Ліцей "Наукова зміна"
</t>
        </r>
      </text>
    </comment>
    <comment ref="B23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24" authorId="0">
      <text>
        <r>
          <rPr>
            <b val="true"/>
            <sz val="8"/>
            <color rgb="FFE7FDFF"/>
            <rFont val="Tahoma"/>
            <family val="2"/>
            <charset val="204"/>
          </rPr>
          <t xml:space="preserve">Києво-Печерський ліцей "Лідер"</t>
        </r>
      </text>
    </comment>
    <comment ref="B25" authorId="0">
      <text>
        <r>
          <rPr>
            <sz val="12"/>
            <color rgb="FFE7FDFF"/>
            <rFont val="Arial Narrow"/>
            <family val="2"/>
            <charset val="204"/>
          </rPr>
          <t xml:space="preserve">Гімназія</t>
        </r>
      </text>
    </comment>
    <comment ref="D12" authorId="0">
      <text>
        <r>
          <rPr>
            <sz val="12"/>
            <color rgb="FFE7FDFF"/>
            <rFont val="Tahoma"/>
            <family val="2"/>
            <charset val="204"/>
          </rPr>
          <t xml:space="preserve">Проапельовано зрив роботи системи тестування</t>
        </r>
      </text>
    </comment>
    <comment ref="D2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E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E2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E2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F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F2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F2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G2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G2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G2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G2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2" authorId="0">
      <text>
        <r>
          <rPr>
            <sz val="12"/>
            <color rgb="FFE7FDFF"/>
            <rFont val="Tahoma"/>
            <family val="2"/>
            <charset val="204"/>
          </rPr>
          <t xml:space="preserve">Проапельовано тест 32 задачі Сім'я (-й не є закінченням)</t>
        </r>
      </text>
    </comment>
    <comment ref="H3" authorId="0">
      <text>
        <r>
          <rPr>
            <sz val="12"/>
            <color rgb="FFE7FDFF"/>
            <rFont val="Tahoma"/>
            <family val="2"/>
            <charset val="204"/>
          </rPr>
          <t xml:space="preserve">Проапельовано тест 32 задачі Сім'я (-й не є закінченням)</t>
        </r>
      </text>
    </comment>
    <comment ref="H4" authorId="0">
      <text>
        <r>
          <rPr>
            <sz val="12"/>
            <color rgb="FFE7FDFF"/>
            <rFont val="Tahoma"/>
            <family val="2"/>
            <charset val="204"/>
          </rPr>
          <t xml:space="preserve">Переоцінено у зв'язку з особливостями роботи Turbo C++ (збільшено час роботи на 44% після аналізу коду програми). Прецедент - у 2008 роцi з Петрашко.</t>
        </r>
      </text>
    </comment>
    <comment ref="H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2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2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H2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8" authorId="0">
      <text>
        <r>
          <rPr>
            <sz val="12"/>
            <color rgb="FFE7FDFF"/>
            <rFont val="Tahoma"/>
            <family val="2"/>
            <charset val="204"/>
          </rPr>
          <t xml:space="preserve">7 тест sequence перепровiрено "руками": 37 секунд замiсть потрiбних  43 секунд</t>
        </r>
      </text>
    </comment>
    <comment ref="I13" authorId="0">
      <text>
        <r>
          <rPr>
            <sz val="12"/>
            <color rgb="FFE7FDFF"/>
            <rFont val="Tahoma"/>
            <family val="2"/>
            <charset val="204"/>
          </rPr>
          <t xml:space="preserve">Переглянуто оцінку за тест 7 задачі Послідовність (зрив роботи системи тестування попередніми запусками програми</t>
        </r>
      </text>
    </comment>
    <comment ref="I2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2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2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I2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2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2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2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J2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2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2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2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K2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L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L8" authorId="0">
      <text>
        <r>
          <rPr>
            <sz val="12"/>
            <color rgb="FFE7FDFF"/>
            <rFont val="Tahoma"/>
            <family val="2"/>
            <charset val="204"/>
          </rPr>
          <t xml:space="preserve">contest.txt.txt</t>
        </r>
      </text>
    </comment>
    <comment ref="L2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L21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 contest.txt</t>
        </r>
      </text>
    </comment>
    <comment ref="L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L2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L2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L2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M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M1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M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M18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M20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M22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M2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M2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M2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O1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O17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O19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P13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P14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P15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P16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P17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P18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P19" authorId="0">
      <text>
        <r>
          <rPr>
            <sz val="12"/>
            <color rgb="FFE7FDFF"/>
            <rFont val="Tahoma"/>
            <family val="2"/>
            <charset val="204"/>
          </rPr>
          <t xml:space="preserve">відсутній</t>
        </r>
      </text>
    </comment>
    <comment ref="R10" authorId="0">
      <text>
        <r>
          <rPr>
            <sz val="12"/>
            <color rgb="FFE7FDFF"/>
            <rFont val="Tahoma"/>
            <family val="2"/>
            <charset val="204"/>
          </rPr>
          <t xml:space="preserve">вiдмова на користь IV етапу олімпіади з хімії</t>
        </r>
      </text>
    </comment>
    <comment ref="R13" authorId="0">
      <text>
        <r>
          <rPr>
            <sz val="12"/>
            <color rgb="FFE7FDFF"/>
            <rFont val="Tahoma"/>
            <family val="2"/>
            <charset val="204"/>
          </rPr>
          <t xml:space="preserve">вiдмова на користь IV етапу олімпіади з математики</t>
        </r>
      </text>
    </comment>
  </commentList>
</comments>
</file>

<file path=xl/sharedStrings.xml><?xml version="1.0" encoding="utf-8"?>
<sst xmlns="http://schemas.openxmlformats.org/spreadsheetml/2006/main" count="1347" uniqueCount="666">
  <si>
    <t xml:space="preserve">Прізвище</t>
  </si>
  <si>
    <t xml:space="preserve">Клас</t>
  </si>
  <si>
    <t xml:space="preserve">Школа</t>
  </si>
  <si>
    <t xml:space="preserve">Залік</t>
  </si>
  <si>
    <t xml:space="preserve">IV етап</t>
  </si>
  <si>
    <t xml:space="preserve">Ткачук Володимир</t>
  </si>
  <si>
    <t xml:space="preserve">НЗ</t>
  </si>
  <si>
    <t xml:space="preserve">1.</t>
  </si>
  <si>
    <t xml:space="preserve">0.846</t>
  </si>
  <si>
    <t xml:space="preserve">0.48</t>
  </si>
  <si>
    <t xml:space="preserve">6.846</t>
  </si>
  <si>
    <t xml:space="preserve">Учасник</t>
  </si>
  <si>
    <t xml:space="preserve">Рибак Михайло</t>
  </si>
  <si>
    <t xml:space="preserve">0.95</t>
  </si>
  <si>
    <t xml:space="preserve">0.85</t>
  </si>
  <si>
    <t xml:space="preserve">0.885</t>
  </si>
  <si>
    <t xml:space="preserve">0.733</t>
  </si>
  <si>
    <t xml:space="preserve">0.02</t>
  </si>
  <si>
    <t xml:space="preserve">6.418</t>
  </si>
  <si>
    <t xml:space="preserve">Недашківський Олексій</t>
  </si>
  <si>
    <t xml:space="preserve">0.592</t>
  </si>
  <si>
    <t xml:space="preserve">0.692</t>
  </si>
  <si>
    <t xml:space="preserve">0.75</t>
  </si>
  <si>
    <t xml:space="preserve">6.327</t>
  </si>
  <si>
    <t xml:space="preserve">Співак Сергій</t>
  </si>
  <si>
    <t xml:space="preserve">0.883</t>
  </si>
  <si>
    <t xml:space="preserve">0.875</t>
  </si>
  <si>
    <t xml:space="preserve">0.577</t>
  </si>
  <si>
    <t xml:space="preserve">0.833</t>
  </si>
  <si>
    <t xml:space="preserve">0.</t>
  </si>
  <si>
    <t xml:space="preserve">6.168</t>
  </si>
  <si>
    <t xml:space="preserve">—</t>
  </si>
  <si>
    <t xml:space="preserve">Яковенко Богдан</t>
  </si>
  <si>
    <t xml:space="preserve">0.346</t>
  </si>
  <si>
    <t xml:space="preserve">0.769</t>
  </si>
  <si>
    <t xml:space="preserve">0.9</t>
  </si>
  <si>
    <t xml:space="preserve">0.44</t>
  </si>
  <si>
    <t xml:space="preserve">5.942</t>
  </si>
  <si>
    <t xml:space="preserve">Веденський Кирило</t>
  </si>
  <si>
    <t xml:space="preserve">0.8</t>
  </si>
  <si>
    <t xml:space="preserve">0.675</t>
  </si>
  <si>
    <t xml:space="preserve">0.575</t>
  </si>
  <si>
    <t xml:space="preserve">0.273</t>
  </si>
  <si>
    <t xml:space="preserve">5.123</t>
  </si>
  <si>
    <t xml:space="preserve">Іванов Андрій</t>
  </si>
  <si>
    <t xml:space="preserve">0.475</t>
  </si>
  <si>
    <t xml:space="preserve">0.5</t>
  </si>
  <si>
    <t xml:space="preserve">0.01</t>
  </si>
  <si>
    <t xml:space="preserve">4.658</t>
  </si>
  <si>
    <t xml:space="preserve">Сергеєв Дмитро</t>
  </si>
  <si>
    <t xml:space="preserve">0.7</t>
  </si>
  <si>
    <t xml:space="preserve">0.908</t>
  </si>
  <si>
    <t xml:space="preserve">0.6</t>
  </si>
  <si>
    <t xml:space="preserve">0.923</t>
  </si>
  <si>
    <t xml:space="preserve">0.308</t>
  </si>
  <si>
    <t xml:space="preserve">0.64</t>
  </si>
  <si>
    <t xml:space="preserve">4.352</t>
  </si>
  <si>
    <t xml:space="preserve">Даценко Сергій</t>
  </si>
  <si>
    <t xml:space="preserve">0.269</t>
  </si>
  <si>
    <t xml:space="preserve">0.76</t>
  </si>
  <si>
    <t xml:space="preserve">0.083</t>
  </si>
  <si>
    <t xml:space="preserve">0.35</t>
  </si>
  <si>
    <t xml:space="preserve">4.079</t>
  </si>
  <si>
    <t xml:space="preserve">Погромський  Костянтин</t>
  </si>
  <si>
    <t xml:space="preserve">0.533</t>
  </si>
  <si>
    <t xml:space="preserve">0.38</t>
  </si>
  <si>
    <t xml:space="preserve">3.847</t>
  </si>
  <si>
    <t xml:space="preserve">Павличко Віктор</t>
  </si>
  <si>
    <t xml:space="preserve">0.615</t>
  </si>
  <si>
    <t xml:space="preserve">0.04</t>
  </si>
  <si>
    <t xml:space="preserve">3.817</t>
  </si>
  <si>
    <t xml:space="preserve">Кузнецов Володимир</t>
  </si>
  <si>
    <t xml:space="preserve">0.2</t>
  </si>
  <si>
    <t xml:space="preserve">0.365</t>
  </si>
  <si>
    <t xml:space="preserve">0.231</t>
  </si>
  <si>
    <t xml:space="preserve">3.379</t>
  </si>
  <si>
    <t xml:space="preserve">Вовненко Іван</t>
  </si>
  <si>
    <t xml:space="preserve">0.3</t>
  </si>
  <si>
    <t xml:space="preserve">0.45</t>
  </si>
  <si>
    <t xml:space="preserve">0.115</t>
  </si>
  <si>
    <t xml:space="preserve">0.385</t>
  </si>
  <si>
    <t xml:space="preserve">0.25</t>
  </si>
  <si>
    <t xml:space="preserve">0.08</t>
  </si>
  <si>
    <t xml:space="preserve">2.223</t>
  </si>
  <si>
    <t xml:space="preserve">Слюсар Євген</t>
  </si>
  <si>
    <t xml:space="preserve">0.038</t>
  </si>
  <si>
    <t xml:space="preserve">0.091</t>
  </si>
  <si>
    <t xml:space="preserve">1.379</t>
  </si>
  <si>
    <t xml:space="preserve">Чабикін Андрій</t>
  </si>
  <si>
    <t xml:space="preserve">0.183</t>
  </si>
  <si>
    <t xml:space="preserve">0.625</t>
  </si>
  <si>
    <t xml:space="preserve">1.368</t>
  </si>
  <si>
    <t xml:space="preserve">Дашевський Сергій</t>
  </si>
  <si>
    <t xml:space="preserve">0.403</t>
  </si>
  <si>
    <t xml:space="preserve">Прізвище, ім`я</t>
  </si>
  <si>
    <t xml:space="preserve">I-5</t>
  </si>
  <si>
    <t xml:space="preserve">II-8</t>
  </si>
  <si>
    <t xml:space="preserve">III-9</t>
  </si>
  <si>
    <t xml:space="preserve">IV-3</t>
  </si>
  <si>
    <t xml:space="preserve">V-12</t>
  </si>
  <si>
    <t xml:space="preserve">VI-6</t>
  </si>
  <si>
    <t xml:space="preserve">VII-1</t>
  </si>
  <si>
    <t xml:space="preserve">VIII-7</t>
  </si>
  <si>
    <t xml:space="preserve">учасник</t>
  </si>
  <si>
    <t xml:space="preserve">Нестерук Володимир</t>
  </si>
  <si>
    <t xml:space="preserve">Ліссов Павло</t>
  </si>
  <si>
    <t xml:space="preserve">Михайлова Марія</t>
  </si>
  <si>
    <t xml:space="preserve">Гігіняк Володимир</t>
  </si>
  <si>
    <t xml:space="preserve">Кузнєцов Володимир</t>
  </si>
  <si>
    <t xml:space="preserve">Знов'як Юрій</t>
  </si>
  <si>
    <t xml:space="preserve">Корюкалов Олександр</t>
  </si>
  <si>
    <t xml:space="preserve">Мамонов Антон</t>
  </si>
  <si>
    <t xml:space="preserve">Терлецький Юрій</t>
  </si>
  <si>
    <t xml:space="preserve">Челноков</t>
  </si>
  <si>
    <t xml:space="preserve">Потапов Денис</t>
  </si>
  <si>
    <t xml:space="preserve">АКЛ</t>
  </si>
  <si>
    <t xml:space="preserve">Михайлюк Євген</t>
  </si>
  <si>
    <t xml:space="preserve">Харків Антон</t>
  </si>
  <si>
    <t xml:space="preserve">                                                                                                     О.Рудик </t>
  </si>
  <si>
    <t xml:space="preserve">Прізвище, ім`я, по батькові</t>
  </si>
  <si>
    <t xml:space="preserve">I-2</t>
  </si>
  <si>
    <t xml:space="preserve">II-6</t>
  </si>
  <si>
    <t xml:space="preserve">III-8</t>
  </si>
  <si>
    <t xml:space="preserve">IV-12</t>
  </si>
  <si>
    <t xml:space="preserve">V-15</t>
  </si>
  <si>
    <t xml:space="preserve">VI-5</t>
  </si>
  <si>
    <t xml:space="preserve">VII-11</t>
  </si>
  <si>
    <t xml:space="preserve">VIII-14</t>
  </si>
  <si>
    <t xml:space="preserve">Знов’як Юрій Володимирович</t>
  </si>
  <si>
    <t xml:space="preserve">Терлецький Юрій Васильович</t>
  </si>
  <si>
    <t xml:space="preserve">Челноков Володимир Олексійович</t>
  </si>
  <si>
    <t xml:space="preserve">Кордубан Дмитро Олександрович</t>
  </si>
  <si>
    <t xml:space="preserve">Гриненко Андрій Андрійович</t>
  </si>
  <si>
    <t xml:space="preserve">Петушков Тарас Валерійович</t>
  </si>
  <si>
    <t xml:space="preserve">Корнієнко Антон Ігорович</t>
  </si>
  <si>
    <t xml:space="preserve">Корюкалов Олександр Володимирович</t>
  </si>
  <si>
    <t xml:space="preserve">Шурига Олексій Васильович</t>
  </si>
  <si>
    <t xml:space="preserve">РЛ</t>
  </si>
  <si>
    <t xml:space="preserve">Мисак Данило Петрович</t>
  </si>
  <si>
    <t xml:space="preserve">резерв</t>
  </si>
  <si>
    <t xml:space="preserve">Брюхацький Дмитро Геннадійович</t>
  </si>
  <si>
    <t xml:space="preserve">ТЛ</t>
  </si>
  <si>
    <r>
      <rPr>
        <sz val="12"/>
        <rFont val="Arial Narrow"/>
        <family val="2"/>
        <charset val="1"/>
      </rPr>
      <t xml:space="preserve">Олесь Владислав Юрійович </t>
    </r>
    <r>
      <rPr>
        <b val="true"/>
        <sz val="12"/>
        <rFont val="Arial Narrow"/>
        <family val="2"/>
        <charset val="1"/>
      </rPr>
      <t xml:space="preserve">С</t>
    </r>
  </si>
  <si>
    <r>
      <rPr>
        <sz val="12"/>
        <rFont val="Arial Narrow"/>
        <family val="2"/>
        <charset val="1"/>
      </rPr>
      <t xml:space="preserve">Агафонкін Володимир Олександрович </t>
    </r>
    <r>
      <rPr>
        <b val="true"/>
        <sz val="12"/>
        <rFont val="Arial Narrow"/>
        <family val="2"/>
        <charset val="1"/>
      </rPr>
      <t xml:space="preserve">С</t>
    </r>
  </si>
  <si>
    <t xml:space="preserve">Каліщук Тарас Ярославович</t>
  </si>
  <si>
    <t xml:space="preserve">Настенко Роман Вікторович</t>
  </si>
  <si>
    <t xml:space="preserve">ПЛ</t>
  </si>
  <si>
    <r>
      <rPr>
        <sz val="12"/>
        <rFont val="Arial Narrow"/>
        <family val="2"/>
        <charset val="1"/>
      </rPr>
      <t xml:space="preserve">Яковлєв Борис Володимирович </t>
    </r>
    <r>
      <rPr>
        <b val="true"/>
        <sz val="12"/>
        <rFont val="Arial Narrow"/>
        <family val="2"/>
        <charset val="1"/>
      </rPr>
      <t xml:space="preserve">C</t>
    </r>
  </si>
  <si>
    <t xml:space="preserve">I-3</t>
  </si>
  <si>
    <t xml:space="preserve">ІІ-4</t>
  </si>
  <si>
    <t xml:space="preserve">ІІІ-6</t>
  </si>
  <si>
    <t xml:space="preserve">IV-10</t>
  </si>
  <si>
    <t xml:space="preserve">VI-13</t>
  </si>
  <si>
    <t xml:space="preserve">VII-14</t>
  </si>
  <si>
    <t xml:space="preserve">VIII-17</t>
  </si>
  <si>
    <t xml:space="preserve">Іванов Євген В'ячеславович</t>
  </si>
  <si>
    <t xml:space="preserve">Пантелеймонов Олександр Борисович</t>
  </si>
  <si>
    <t xml:space="preserve">Чеховський Олександр Володимирович</t>
  </si>
  <si>
    <t xml:space="preserve">Трегубенко Антон Сергійович</t>
  </si>
  <si>
    <t xml:space="preserve">запас</t>
  </si>
  <si>
    <t xml:space="preserve">Юрченко Іван Миронович</t>
  </si>
  <si>
    <t xml:space="preserve">Слюсаренко Олексій Олександрович</t>
  </si>
  <si>
    <t xml:space="preserve">Дєдушенко Микола Васильович</t>
  </si>
  <si>
    <t xml:space="preserve">Решетняк Ігор Вікторович</t>
  </si>
  <si>
    <t xml:space="preserve">Соколов Андрій Миколайович</t>
  </si>
  <si>
    <t xml:space="preserve">I-4</t>
  </si>
  <si>
    <t xml:space="preserve">II-5</t>
  </si>
  <si>
    <t xml:space="preserve">III-7</t>
  </si>
  <si>
    <t xml:space="preserve">IV-8</t>
  </si>
  <si>
    <t xml:space="preserve">VI-15</t>
  </si>
  <si>
    <t xml:space="preserve">VII-17</t>
  </si>
  <si>
    <t xml:space="preserve">VIII-18</t>
  </si>
  <si>
    <t xml:space="preserve">Юрченко Іван Володимирович</t>
  </si>
  <si>
    <t xml:space="preserve">Лівінський Іван Володимирович</t>
  </si>
  <si>
    <t xml:space="preserve">Абрамов Олександр Олександрович</t>
  </si>
  <si>
    <t xml:space="preserve">Шушкін Денис Андрійович </t>
  </si>
  <si>
    <t xml:space="preserve">Смелов Валерій Вікторович</t>
  </si>
  <si>
    <t xml:space="preserve">Бачеріков Олександр Ігорович</t>
  </si>
  <si>
    <t xml:space="preserve">Касіцький Олексій Вікторович</t>
  </si>
  <si>
    <t xml:space="preserve">Гусач Віталій Юрійович</t>
  </si>
  <si>
    <t xml:space="preserve">Набока Владислав Юрійович</t>
  </si>
  <si>
    <t xml:space="preserve">Берковський Денис Володимирович</t>
  </si>
  <si>
    <t xml:space="preserve">Радченко Анатолій Валерійович</t>
  </si>
  <si>
    <t xml:space="preserve">Чернов Микола Леонідович</t>
  </si>
  <si>
    <t xml:space="preserve">I-1</t>
  </si>
  <si>
    <t xml:space="preserve">IV-11</t>
  </si>
  <si>
    <t xml:space="preserve">VI-18</t>
  </si>
  <si>
    <t xml:space="preserve">VII-3</t>
  </si>
  <si>
    <t xml:space="preserve">VIII-6</t>
  </si>
  <si>
    <t xml:space="preserve">IX</t>
  </si>
  <si>
    <t xml:space="preserve">Σ</t>
  </si>
  <si>
    <t xml:space="preserve">Чеховський  Олександр Володимир.</t>
  </si>
  <si>
    <t xml:space="preserve">відмова</t>
  </si>
  <si>
    <t xml:space="preserve">Смєлов Валерій Вікторович</t>
  </si>
  <si>
    <t xml:space="preserve">Танцюра Богдан Вікторович</t>
  </si>
  <si>
    <t xml:space="preserve"> </t>
  </si>
  <si>
    <t xml:space="preserve">Полозов Олександр Євгенович</t>
  </si>
  <si>
    <t xml:space="preserve">Тарасюк  Дмитро Ігорович</t>
  </si>
  <si>
    <t xml:space="preserve">Панфілов Іван Олексійович</t>
  </si>
  <si>
    <t xml:space="preserve">УК</t>
  </si>
  <si>
    <t xml:space="preserve">Челноков Савва Ілліч</t>
  </si>
  <si>
    <t xml:space="preserve">Малежик Олександр Іванович</t>
  </si>
  <si>
    <t xml:space="preserve">Попович Андрій Владиславович</t>
  </si>
  <si>
    <t xml:space="preserve">Рибніков Костянтин Олександрович</t>
  </si>
  <si>
    <t xml:space="preserve">Губов Олександр Михайлович</t>
  </si>
  <si>
    <t xml:space="preserve">Соколов Влас Миколайович</t>
  </si>
  <si>
    <t xml:space="preserve">Хількевич Олексій Миколайович</t>
  </si>
  <si>
    <t xml:space="preserve">Грек Володимир Жоржович</t>
  </si>
  <si>
    <t xml:space="preserve">Огнєв Павло Ігорович</t>
  </si>
  <si>
    <t xml:space="preserve">Мельник Володимир Володимирович</t>
  </si>
  <si>
    <t xml:space="preserve">Арман Андрій Романович</t>
  </si>
  <si>
    <t xml:space="preserve">Нікітін Олександр Володимирович</t>
  </si>
  <si>
    <t xml:space="preserve">Шишацький Юрій Олександрович</t>
  </si>
  <si>
    <t xml:space="preserve">Джирма Андрій Володимирович</t>
  </si>
  <si>
    <t xml:space="preserve">I (1)</t>
  </si>
  <si>
    <t xml:space="preserve">II (4)</t>
  </si>
  <si>
    <t xml:space="preserve">III (8)</t>
  </si>
  <si>
    <t xml:space="preserve">IV (9)</t>
  </si>
  <si>
    <t xml:space="preserve">V (13)</t>
  </si>
  <si>
    <t xml:space="preserve">VI(14)</t>
  </si>
  <si>
    <t xml:space="preserve">VII(16)</t>
  </si>
  <si>
    <t xml:space="preserve">VIII(18)</t>
  </si>
  <si>
    <t xml:space="preserve">IX (19)</t>
  </si>
  <si>
    <t xml:space="preserve">X (20)</t>
  </si>
  <si>
    <t xml:space="preserve">Таран Дмитро Сергійович</t>
  </si>
  <si>
    <t xml:space="preserve">Максай Андрій Олександрович</t>
  </si>
  <si>
    <t xml:space="preserve">─</t>
  </si>
  <si>
    <t xml:space="preserve">Гузій Юрій Володимирович</t>
  </si>
  <si>
    <t xml:space="preserve">Хитрий Ігор Вікторович</t>
  </si>
  <si>
    <t xml:space="preserve">Петрашко Дмитро Ігорович</t>
  </si>
  <si>
    <t xml:space="preserve">Кудла Ігор Ростиславович</t>
  </si>
  <si>
    <t xml:space="preserve">Могильний Сергій Сергійович</t>
  </si>
  <si>
    <t xml:space="preserve">Залік: вказано частку набраних балів від максимально можливої кількості. У залік йде 7 найкращих результатів з 8. </t>
  </si>
  <si>
    <t xml:space="preserve">Результати 9 і 10 (додаткових) турів дадаються до залікового результату.</t>
  </si>
  <si>
    <t xml:space="preserve"> 22 березня 2007 року.</t>
  </si>
  <si>
    <t xml:space="preserve">Керівник відбірково-тренувальних зборів, голова журі ІІІ етапу олімпіади,</t>
  </si>
  <si>
    <t xml:space="preserve">доцент КМПУ ім. Б.Грінченка  </t>
  </si>
  <si>
    <t xml:space="preserve">О.Рудик</t>
  </si>
  <si>
    <t xml:space="preserve">I (4)</t>
  </si>
  <si>
    <t xml:space="preserve">II (5)</t>
  </si>
  <si>
    <t xml:space="preserve">III (7)</t>
  </si>
  <si>
    <t xml:space="preserve">IV (11)</t>
  </si>
  <si>
    <t xml:space="preserve">VI (14)</t>
  </si>
  <si>
    <t xml:space="preserve">VII (17)</t>
  </si>
  <si>
    <t xml:space="preserve">VIII (22)</t>
  </si>
  <si>
    <t xml:space="preserve">IX (2)</t>
  </si>
  <si>
    <t xml:space="preserve">X (19)</t>
  </si>
  <si>
    <t xml:space="preserve">Могильний Сергій Сергійович </t>
  </si>
  <si>
    <t xml:space="preserve">Твердохліб Ярослав Олегович</t>
  </si>
  <si>
    <t xml:space="preserve">Полозов Олександр  Євгенович</t>
  </si>
  <si>
    <t xml:space="preserve">Мельник  Володимир Володимирович</t>
  </si>
  <si>
    <t xml:space="preserve">Башук Олександр Олексійович</t>
  </si>
  <si>
    <t xml:space="preserve">Челноков Сава Ілліч</t>
  </si>
  <si>
    <t xml:space="preserve">Єдемський Роман Сергійович</t>
  </si>
  <si>
    <t xml:space="preserve">Ткаченко Владислав Вадимович</t>
  </si>
  <si>
    <t xml:space="preserve">Назарова Дар'я В'ячеславівна</t>
  </si>
  <si>
    <t xml:space="preserve">Мостовенко Микола Сергійович</t>
  </si>
  <si>
    <t xml:space="preserve">Ржепішевський Андрій Леонідович</t>
  </si>
  <si>
    <t xml:space="preserve">Воротілін Вадим Валерійович</t>
  </si>
  <si>
    <t xml:space="preserve">Пустовіт Остап Олегович</t>
  </si>
  <si>
    <t xml:space="preserve">6 березня 2008 року.</t>
  </si>
  <si>
    <t xml:space="preserve">1 (2)</t>
  </si>
  <si>
    <t xml:space="preserve">2 (6)</t>
  </si>
  <si>
    <t xml:space="preserve">3 (9)</t>
  </si>
  <si>
    <t xml:space="preserve">4 (10)</t>
  </si>
  <si>
    <t xml:space="preserve">5 (13)</t>
  </si>
  <si>
    <t xml:space="preserve">6 (14)</t>
  </si>
  <si>
    <t xml:space="preserve">7 (18)</t>
  </si>
  <si>
    <t xml:space="preserve">8 (4)</t>
  </si>
  <si>
    <t xml:space="preserve">9 (20)</t>
  </si>
  <si>
    <t xml:space="preserve">10 (22)</t>
  </si>
  <si>
    <t xml:space="preserve">11 (8)</t>
  </si>
  <si>
    <t xml:space="preserve">12 (25)</t>
  </si>
  <si>
    <t xml:space="preserve">Телефон</t>
  </si>
  <si>
    <t xml:space="preserve">e-mail</t>
  </si>
  <si>
    <t xml:space="preserve">І</t>
  </si>
  <si>
    <t xml:space="preserve">ІІ</t>
  </si>
  <si>
    <t xml:space="preserve">Місце</t>
  </si>
  <si>
    <t xml:space="preserve">Шевчук Євген Миколайович</t>
  </si>
  <si>
    <t xml:space="preserve">Герич Захар Олегович</t>
  </si>
  <si>
    <t xml:space="preserve">Пархомець Артем Дмитрович </t>
  </si>
  <si>
    <t xml:space="preserve">Мороз Антон Юрійович</t>
  </si>
  <si>
    <t xml:space="preserve">Руденко Олександр В'ячеславович</t>
  </si>
  <si>
    <t xml:space="preserve">Лавренюк Микола Сергійович</t>
  </si>
  <si>
    <t xml:space="preserve">Бондар Денис Олегович</t>
  </si>
  <si>
    <t xml:space="preserve">Зінченко Артем Вадимович</t>
  </si>
  <si>
    <t xml:space="preserve">Пушкар Андрій Сергійович</t>
  </si>
  <si>
    <t xml:space="preserve">Баган Олександр Анатолійович</t>
  </si>
  <si>
    <t xml:space="preserve">Кулян Андрій Вікторович</t>
  </si>
  <si>
    <t xml:space="preserve">Шматов Ярослав Ростиславович</t>
  </si>
  <si>
    <t xml:space="preserve">Харчун Володимир Михайлович</t>
  </si>
  <si>
    <t xml:space="preserve">Ківва Богдан Сергійович</t>
  </si>
  <si>
    <t xml:space="preserve">Рибалка Денис Олегович</t>
  </si>
  <si>
    <t xml:space="preserve">Франчук Василь Олегович</t>
  </si>
  <si>
    <t xml:space="preserve">Залік: вказано частку набраних балів від максимально можливої кількості. У залік йде 9 найкращих результатів з 10. </t>
  </si>
  <si>
    <t xml:space="preserve">Результати 11 і 12 (додаткових) турів дадаються до залікового результату.</t>
  </si>
  <si>
    <t xml:space="preserve">4 березня 2009 року.</t>
  </si>
  <si>
    <t xml:space="preserve">Керівник відбірково-тренувальних зборів, доцент КМПУ ім. Б.Д. Грінченка  </t>
  </si>
  <si>
    <t xml:space="preserve">1 (6)</t>
  </si>
  <si>
    <t xml:space="preserve">2 (12)</t>
  </si>
  <si>
    <t xml:space="preserve">2 (14)</t>
  </si>
  <si>
    <t xml:space="preserve">3 (17)</t>
  </si>
  <si>
    <t xml:space="preserve">3 (21)</t>
  </si>
  <si>
    <t xml:space="preserve">4 (22)</t>
  </si>
  <si>
    <t xml:space="preserve">4 (26)</t>
  </si>
  <si>
    <t xml:space="preserve">ПК1</t>
  </si>
  <si>
    <t xml:space="preserve">Пікож Андрій Віталійович</t>
  </si>
  <si>
    <t xml:space="preserve">0688083844 andrey_pikozh@ukr.net</t>
  </si>
  <si>
    <t xml:space="preserve">5174508 JShmatov@gmail.com</t>
  </si>
  <si>
    <t xml:space="preserve">Скрябін Євген Костянтинович</t>
  </si>
  <si>
    <t xml:space="preserve">Таранов Владислав Ернестович</t>
  </si>
  <si>
    <t xml:space="preserve">5263078 vbcoding@ukr.net</t>
  </si>
  <si>
    <t xml:space="preserve">Краснолуцький Владислав Костянтинович</t>
  </si>
  <si>
    <t xml:space="preserve">Бондаренко Дмитро Олегович</t>
  </si>
  <si>
    <t xml:space="preserve">Топоров Юрій Володимирович</t>
  </si>
  <si>
    <t xml:space="preserve">Піскун Олексій Андрійович</t>
  </si>
  <si>
    <t xml:space="preserve">Куссуль Анатолій Павлович</t>
  </si>
  <si>
    <t xml:space="preserve">5262572 kin6@ukr.net</t>
  </si>
  <si>
    <t xml:space="preserve">Кульчицький Юрій Вікторович</t>
  </si>
  <si>
    <t xml:space="preserve">5661213 ntdvsc.42@gmail.com</t>
  </si>
  <si>
    <t xml:space="preserve">Какойченко Андрій Ігорович</t>
  </si>
  <si>
    <t xml:space="preserve">5734997 a.kakoychenko@gmail.com</t>
  </si>
  <si>
    <t xml:space="preserve">Бихун Олексій Вікторович</t>
  </si>
  <si>
    <t xml:space="preserve">Залік: вказано частку набраних балів від максимально можливої кількості.</t>
  </si>
  <si>
    <t xml:space="preserve">3 березня 2010 року.</t>
  </si>
  <si>
    <t xml:space="preserve">Керівник відбірково-тренувальних зборів, доцент КУ ім. Б. Грінченка  </t>
  </si>
  <si>
    <t xml:space="preserve">1 (3)</t>
  </si>
  <si>
    <t xml:space="preserve">2 (5)</t>
  </si>
  <si>
    <t xml:space="preserve">3 (12)</t>
  </si>
  <si>
    <t xml:space="preserve">4 (17)</t>
  </si>
  <si>
    <t xml:space="preserve">5 (21)</t>
  </si>
  <si>
    <t xml:space="preserve">6 (22)</t>
  </si>
  <si>
    <t xml:space="preserve">7 (26)</t>
  </si>
  <si>
    <t xml:space="preserve">8 (11)</t>
  </si>
  <si>
    <t xml:space="preserve">Михайловський Володимир Віталійович</t>
  </si>
  <si>
    <t xml:space="preserve">Діомідов Євгеній Олексійович</t>
  </si>
  <si>
    <t xml:space="preserve">Кузьмін Олексій Володимирович</t>
  </si>
  <si>
    <t xml:space="preserve">Самойлов Олександр Миколайович</t>
  </si>
  <si>
    <t xml:space="preserve">Гур'янов Олександр Ігорович</t>
  </si>
  <si>
    <t xml:space="preserve">Шатохін Михайло Вікторович</t>
  </si>
  <si>
    <t xml:space="preserve">Литвиненко Ігор Ігорович</t>
  </si>
  <si>
    <t xml:space="preserve">Кутовий Дмитро Валерійович</t>
  </si>
  <si>
    <t xml:space="preserve">Чан Ха Ву</t>
  </si>
  <si>
    <t xml:space="preserve">Фатенко Владислав Васильович</t>
  </si>
  <si>
    <t xml:space="preserve">Дашков Олександр Олександрович</t>
  </si>
  <si>
    <t xml:space="preserve">Самара Олекса Сергійович</t>
  </si>
  <si>
    <t xml:space="preserve">Побережець Антон Віталійович</t>
  </si>
  <si>
    <t xml:space="preserve">7 березня 2011 року.</t>
  </si>
  <si>
    <t xml:space="preserve">Керівник відбірково-тренувальних зборів,</t>
  </si>
  <si>
    <t xml:space="preserve">доцент КУ ім. Б.Грінченка  </t>
  </si>
  <si>
    <t xml:space="preserve">ПК</t>
  </si>
  <si>
    <t xml:space="preserve">I</t>
  </si>
  <si>
    <t xml:space="preserve">II</t>
  </si>
  <si>
    <t xml:space="preserve">3 (4)</t>
  </si>
  <si>
    <t xml:space="preserve">4 (7)</t>
  </si>
  <si>
    <t xml:space="preserve">5 (12)</t>
  </si>
  <si>
    <t xml:space="preserve">6 (15)</t>
  </si>
  <si>
    <t xml:space="preserve">7 (19)</t>
  </si>
  <si>
    <t xml:space="preserve">8 (23)</t>
  </si>
  <si>
    <t xml:space="preserve">9 (26)</t>
  </si>
  <si>
    <t xml:space="preserve">10(30)</t>
  </si>
  <si>
    <t xml:space="preserve">Попович Євгеній Олександрович</t>
  </si>
  <si>
    <t xml:space="preserve">Маковенко Микита Сергійович</t>
  </si>
  <si>
    <t xml:space="preserve">Сидоришин Андрій Леонідович</t>
  </si>
  <si>
    <t xml:space="preserve">Сочка Олександр Олександрович</t>
  </si>
  <si>
    <t xml:space="preserve">Першин Радомир Валерійович</t>
  </si>
  <si>
    <t xml:space="preserve">Гусєв Олександр Андрійович</t>
  </si>
  <si>
    <t xml:space="preserve">Піпко Анна Сергіївна</t>
  </si>
  <si>
    <t xml:space="preserve">Марчук Роман Васильович</t>
  </si>
  <si>
    <t xml:space="preserve">Залік: вказано частку набраних балів від максимально можливої кількості. У залік йде 11 найкращих результатів з 12. </t>
  </si>
  <si>
    <t xml:space="preserve">2 березня 2012 року.</t>
  </si>
  <si>
    <t xml:space="preserve">Чаповський Євген Юрійович</t>
  </si>
  <si>
    <t xml:space="preserve">Булатов Дмитро Єгорович</t>
  </si>
  <si>
    <t xml:space="preserve">Богатов Дмитро Костянтинович</t>
  </si>
  <si>
    <t xml:space="preserve">Олексієнко Ілля Вадимович</t>
  </si>
  <si>
    <t xml:space="preserve">Рижков Ігор Олегович</t>
  </si>
  <si>
    <t xml:space="preserve">Гаврилко Євгеній Дмитрович</t>
  </si>
  <si>
    <t xml:space="preserve">Трєскунов Денис Олегович</t>
  </si>
  <si>
    <t xml:space="preserve">28 лютого 2013 року.</t>
  </si>
  <si>
    <t xml:space="preserve">1 (1)</t>
  </si>
  <si>
    <t xml:space="preserve">7 (21)</t>
  </si>
  <si>
    <t xml:space="preserve">8 (25)</t>
  </si>
  <si>
    <t xml:space="preserve">10 (31)</t>
  </si>
  <si>
    <t xml:space="preserve">Лаба Дмитро Мирославович</t>
  </si>
  <si>
    <t xml:space="preserve">Першин Радомир Валерійович </t>
  </si>
  <si>
    <t xml:space="preserve">Горбешко Олексій Костянтинович</t>
  </si>
  <si>
    <t xml:space="preserve">Олексієнко Ілля Вадимович </t>
  </si>
  <si>
    <t xml:space="preserve">Савенков Олексій Аркадійович</t>
  </si>
  <si>
    <t xml:space="preserve">Башук Олексій Олексійович</t>
  </si>
  <si>
    <t xml:space="preserve">Кураченко Олег Олегович</t>
  </si>
  <si>
    <t xml:space="preserve">Мелентьєва Ада Денисівна</t>
  </si>
  <si>
    <t xml:space="preserve">Прокопець Юрій Андрійович</t>
  </si>
  <si>
    <t xml:space="preserve">Канівець Дмитро Володимирович </t>
  </si>
  <si>
    <t xml:space="preserve">Кошевий Ілля Борисович</t>
  </si>
  <si>
    <t xml:space="preserve">Пушкін Денис Євгенович</t>
  </si>
  <si>
    <t xml:space="preserve">27 лютого 2014 року.</t>
  </si>
  <si>
    <t xml:space="preserve">2 (16)</t>
  </si>
  <si>
    <t xml:space="preserve">∑</t>
  </si>
  <si>
    <t xml:space="preserve">Саприкін Артем Олексійович</t>
  </si>
  <si>
    <t xml:space="preserve">Башук Олексій Олексійович </t>
  </si>
  <si>
    <t xml:space="preserve">Рл</t>
  </si>
  <si>
    <t xml:space="preserve">нпч</t>
  </si>
  <si>
    <t xml:space="preserve">Житар Роман Віталійович</t>
  </si>
  <si>
    <t xml:space="preserve">Клибанівський Владислав Вадимович</t>
  </si>
  <si>
    <t xml:space="preserve">Сукайло Катерина Ігорівна</t>
  </si>
  <si>
    <t xml:space="preserve">Франчук Іван Олегович</t>
  </si>
  <si>
    <t xml:space="preserve">Ковалевський Ілля Романович</t>
  </si>
  <si>
    <t xml:space="preserve">Тл</t>
  </si>
  <si>
    <t xml:space="preserve">Мельниченко Антон Сергійович</t>
  </si>
  <si>
    <t xml:space="preserve">Яценко Владислав Ігорович</t>
  </si>
  <si>
    <t xml:space="preserve">Нестеренко Костянтин Павлович</t>
  </si>
  <si>
    <t xml:space="preserve">Вахітов Богдан Володимирович</t>
  </si>
  <si>
    <t xml:space="preserve">2 (8)</t>
  </si>
  <si>
    <t xml:space="preserve">3 (15)</t>
  </si>
  <si>
    <t xml:space="preserve">4 (20)</t>
  </si>
  <si>
    <t xml:space="preserve">5 (24)</t>
  </si>
  <si>
    <t xml:space="preserve">6 (28)</t>
  </si>
  <si>
    <t xml:space="preserve">7 (32)</t>
  </si>
  <si>
    <t xml:space="preserve">8 (30+21)</t>
  </si>
  <si>
    <t xml:space="preserve">учасник ?</t>
  </si>
  <si>
    <t xml:space="preserve">Тригуб Антон Володимирович</t>
  </si>
  <si>
    <t xml:space="preserve">гА</t>
  </si>
  <si>
    <t xml:space="preserve">Кадиров Кадір Бєкєтович</t>
  </si>
  <si>
    <t xml:space="preserve">Євсейцев Андрій Вікторович</t>
  </si>
  <si>
    <t xml:space="preserve">Гунько Олександр Сергійович</t>
  </si>
  <si>
    <t xml:space="preserve">Гінкул Анна Олександрівна</t>
  </si>
  <si>
    <t xml:space="preserve">Яцків Катерина Богданівна</t>
  </si>
  <si>
    <t xml:space="preserve">Савченко Владислав Максимович</t>
  </si>
  <si>
    <t xml:space="preserve">Грицюк Олександр Олександрович</t>
  </si>
  <si>
    <t xml:space="preserve">Киричков Дмитро Ярославович</t>
  </si>
  <si>
    <t xml:space="preserve">Вахітов Антон Володимирович</t>
  </si>
  <si>
    <t xml:space="preserve">3 (2)</t>
  </si>
  <si>
    <t xml:space="preserve">5 (9)</t>
  </si>
  <si>
    <t xml:space="preserve">6 (13)</t>
  </si>
  <si>
    <t xml:space="preserve">7 (20)</t>
  </si>
  <si>
    <t xml:space="preserve">8 (26)</t>
  </si>
  <si>
    <t xml:space="preserve">9 ()</t>
  </si>
  <si>
    <t xml:space="preserve">10 ()</t>
  </si>
  <si>
    <t xml:space="preserve">Абдулаєв Андрій Анатолійович</t>
  </si>
  <si>
    <t xml:space="preserve">Нз</t>
  </si>
  <si>
    <t xml:space="preserve">Башук  Олексій Олексійович</t>
  </si>
  <si>
    <t xml:space="preserve">Гречка Артем Віталійович</t>
  </si>
  <si>
    <t xml:space="preserve">Кадиров Кадір Бекетович</t>
  </si>
  <si>
    <t xml:space="preserve">Нижник Борис Михайлович </t>
  </si>
  <si>
    <t xml:space="preserve">Олійник Микита Павлович</t>
  </si>
  <si>
    <t xml:space="preserve">Панченко Єгор Станіславович</t>
  </si>
  <si>
    <t xml:space="preserve">Потьомкін Лев Євгенович</t>
  </si>
  <si>
    <t xml:space="preserve">Ремез Сергій Олександрович</t>
  </si>
  <si>
    <t xml:space="preserve">Руденко Анастасія В'ячеславівна</t>
  </si>
  <si>
    <t xml:space="preserve">Скоробогатько Ігор Олександрович</t>
  </si>
  <si>
    <t xml:space="preserve">1 (4)</t>
  </si>
  <si>
    <t xml:space="preserve">4 (13)</t>
  </si>
  <si>
    <t xml:space="preserve">5 (22)</t>
  </si>
  <si>
    <t xml:space="preserve">6 (25)</t>
  </si>
  <si>
    <t xml:space="preserve">7 (30)</t>
  </si>
  <si>
    <t xml:space="preserve">8 (31)</t>
  </si>
  <si>
    <t xml:space="preserve">grytsiuk.o@gmail.com</t>
  </si>
  <si>
    <t xml:space="preserve">iamsuperman145@gmail.com</t>
  </si>
  <si>
    <t xml:space="preserve">Ковригін Андрій Ігоревич</t>
  </si>
  <si>
    <t xml:space="preserve">a.i.kovrigin@gmail.com</t>
  </si>
  <si>
    <t xml:space="preserve">Фількін Максим Андрійович</t>
  </si>
  <si>
    <t xml:space="preserve">filkinkuiv@gmail.com</t>
  </si>
  <si>
    <t xml:space="preserve">kadeyrov@gmail.com</t>
  </si>
  <si>
    <t xml:space="preserve">Сидоренко Нікіта Сергійович</t>
  </si>
  <si>
    <t xml:space="preserve">nikermax@ukr.net</t>
  </si>
  <si>
    <t xml:space="preserve">Рамик Іван Петрович</t>
  </si>
  <si>
    <t xml:space="preserve">vanya.ramik@gmail.com</t>
  </si>
  <si>
    <t xml:space="preserve">themrlestrade@gmail.com</t>
  </si>
  <si>
    <t xml:space="preserve">bvakhitov@gmail.com</t>
  </si>
  <si>
    <t xml:space="preserve">skorobogatkoi2003@gmail.com</t>
  </si>
  <si>
    <t xml:space="preserve">antvakhitov@gmail.com</t>
  </si>
  <si>
    <t xml:space="preserve">Дехтяр Юр-Любомисл Валерійович</t>
  </si>
  <si>
    <t xml:space="preserve">theophil2002@gmail.com</t>
  </si>
  <si>
    <t xml:space="preserve">panenotgeor@gmail.com</t>
  </si>
  <si>
    <t xml:space="preserve">Щербак Денис Володимирович</t>
  </si>
  <si>
    <t xml:space="preserve">denis.shcherbak@gmail.com</t>
  </si>
  <si>
    <t xml:space="preserve">Білик Олеся Олександрівна</t>
  </si>
  <si>
    <t xml:space="preserve">ole.bilyk@gmail.com</t>
  </si>
  <si>
    <t xml:space="preserve">Нечаєва Вероніка Валентинівна</t>
  </si>
  <si>
    <t xml:space="preserve">veronika.netch@gmail.com</t>
  </si>
  <si>
    <t xml:space="preserve">Манвелян Михайло Борисович</t>
  </si>
  <si>
    <t xml:space="preserve">mmanvelyan2004@gmail.com</t>
  </si>
  <si>
    <t xml:space="preserve">Стопчатий Андрій Вадимович</t>
  </si>
  <si>
    <t xml:space="preserve">КІГ</t>
  </si>
  <si>
    <t xml:space="preserve">astopchatyy@gmail.com</t>
  </si>
  <si>
    <t xml:space="preserve">4 (16)</t>
  </si>
  <si>
    <t xml:space="preserve">6 (23)</t>
  </si>
  <si>
    <t xml:space="preserve">8 (33)</t>
  </si>
  <si>
    <t xml:space="preserve">mmanvelyan2004q@gmail.com</t>
  </si>
  <si>
    <t xml:space="preserve">Ковригін Андрій Ігорович</t>
  </si>
  <si>
    <t xml:space="preserve">Кравченко Олег Ігорович</t>
  </si>
  <si>
    <t xml:space="preserve">olegprogir@gmail.com</t>
  </si>
  <si>
    <t xml:space="preserve">Нижник Борис Михайлович</t>
  </si>
  <si>
    <t xml:space="preserve">Бідзіля Святослав Олексійович 9 клас</t>
  </si>
  <si>
    <t xml:space="preserve">b.svjatoslav@gmail.com</t>
  </si>
  <si>
    <t xml:space="preserve">Забарянская Ірина Сергіївна</t>
  </si>
  <si>
    <t xml:space="preserve">irunchikintellect@gmail.com</t>
  </si>
  <si>
    <t xml:space="preserve">Дехтяр Богдан-Ярема Валерійович</t>
  </si>
  <si>
    <t xml:space="preserve">Точоний Володимир Олегович</t>
  </si>
  <si>
    <t xml:space="preserve">derfer2003@gmail.com</t>
  </si>
  <si>
    <t xml:space="preserve">Руденко Анастасія Вячеславівна</t>
  </si>
  <si>
    <t xml:space="preserve">little.rudenko@gmail.com</t>
  </si>
  <si>
    <t xml:space="preserve">Махмудов Олександр Олександрович</t>
  </si>
  <si>
    <t xml:space="preserve">oleksandrmakhmudov@gmail.com</t>
  </si>
  <si>
    <t xml:space="preserve">Петренко Святозар Олександрович</t>
  </si>
  <si>
    <t xml:space="preserve">svpetrenko123@gmail.com</t>
  </si>
  <si>
    <t xml:space="preserve">Макаров Іван Максимович</t>
  </si>
  <si>
    <t xml:space="preserve">makarov_work@ukr.net</t>
  </si>
  <si>
    <t xml:space="preserve">І тур ІІІ етапу</t>
  </si>
  <si>
    <t xml:space="preserve">ІI тур ІІІ етапу</t>
  </si>
  <si>
    <t xml:space="preserve">Бідзіля</t>
  </si>
  <si>
    <t xml:space="preserve">Ковригін</t>
  </si>
  <si>
    <t xml:space="preserve">Мокін</t>
  </si>
  <si>
    <t xml:space="preserve">Манвелян</t>
  </si>
  <si>
    <t xml:space="preserve">Кравченко</t>
  </si>
  <si>
    <t xml:space="preserve">Горох</t>
  </si>
  <si>
    <t xml:space="preserve">Абдулаєв</t>
  </si>
  <si>
    <t xml:space="preserve">Скоробогатько</t>
  </si>
  <si>
    <t xml:space="preserve">Стопчатий</t>
  </si>
  <si>
    <t xml:space="preserve">Вахітов</t>
  </si>
  <si>
    <t xml:space="preserve">Романов</t>
  </si>
  <si>
    <t xml:space="preserve">Точоний</t>
  </si>
  <si>
    <t xml:space="preserve">Якубишин</t>
  </si>
  <si>
    <t xml:space="preserve">Шевченко</t>
  </si>
  <si>
    <t xml:space="preserve">Шлапак</t>
  </si>
  <si>
    <t xml:space="preserve">Хасін</t>
  </si>
  <si>
    <t xml:space="preserve">Потьомкіна</t>
  </si>
  <si>
    <t xml:space="preserve">Янушевський</t>
  </si>
  <si>
    <t xml:space="preserve">Смутчак</t>
  </si>
  <si>
    <t xml:space="preserve">Камінський</t>
  </si>
  <si>
    <t xml:space="preserve">Терещенко</t>
  </si>
  <si>
    <t xml:space="preserve">Рейзін</t>
  </si>
  <si>
    <t xml:space="preserve">Черній</t>
  </si>
  <si>
    <t xml:space="preserve">Шелестов</t>
  </si>
  <si>
    <t xml:space="preserve">Тимошенко</t>
  </si>
  <si>
    <t xml:space="preserve">Дубас</t>
  </si>
  <si>
    <t xml:space="preserve">Жирнов</t>
  </si>
  <si>
    <t xml:space="preserve">Сімак</t>
  </si>
  <si>
    <t xml:space="preserve">Семиренський</t>
  </si>
  <si>
    <t xml:space="preserve">Кривошеєва</t>
  </si>
  <si>
    <t xml:space="preserve">Басов</t>
  </si>
  <si>
    <t xml:space="preserve">Матвіюк</t>
  </si>
  <si>
    <t xml:space="preserve">Лапко</t>
  </si>
  <si>
    <t xml:space="preserve">Обліковий запис</t>
  </si>
  <si>
    <t xml:space="preserve">Відео 1</t>
  </si>
  <si>
    <t xml:space="preserve">Відео 2</t>
  </si>
  <si>
    <t xml:space="preserve">Відео 3</t>
  </si>
  <si>
    <t xml:space="preserve">Відео 4</t>
  </si>
  <si>
    <t xml:space="preserve">Лобас</t>
  </si>
  <si>
    <t xml:space="preserve">uoi-0110</t>
  </si>
  <si>
    <t xml:space="preserve">https://youtu.be/C4zV-UuY_I0</t>
  </si>
  <si>
    <t xml:space="preserve">https://youtu.be/5M29T3x7G6M</t>
  </si>
  <si>
    <t xml:space="preserve">https://youtu.be/t6yxbGiz5Vk</t>
  </si>
  <si>
    <t xml:space="preserve">https://youtu.be/4wMR422Iwow</t>
  </si>
  <si>
    <t xml:space="preserve">daria6.lobas@gmail.com</t>
  </si>
  <si>
    <t xml:space="preserve">Реденський</t>
  </si>
  <si>
    <t xml:space="preserve">uoi-0105</t>
  </si>
  <si>
    <t xml:space="preserve">https://youtu.be/7BvyWYZq1tw</t>
  </si>
  <si>
    <t xml:space="preserve">https://youtu.be/iXIJZKDYW_o</t>
  </si>
  <si>
    <t xml:space="preserve">https://youtu.be/oS4MhEBv-NA</t>
  </si>
  <si>
    <t xml:space="preserve">https://youtu.be/KHG0kAU-n4E</t>
  </si>
  <si>
    <t xml:space="preserve">redkirill4@gmail.com</t>
  </si>
  <si>
    <t xml:space="preserve">uoi-0107</t>
  </si>
  <si>
    <t xml:space="preserve">https://youtu.be/9QtZwGEzEKE</t>
  </si>
  <si>
    <t xml:space="preserve">https://youtu.be/K6Bm-YXA51Y</t>
  </si>
  <si>
    <t xml:space="preserve">https://youtu.be/uZ-7TRXJ3Ks</t>
  </si>
  <si>
    <t xml:space="preserve">https://youtu.be/amvdsP9HUTw</t>
  </si>
  <si>
    <t xml:space="preserve">simakstepan@gmail.com</t>
  </si>
  <si>
    <t xml:space="preserve">Смутчак </t>
  </si>
  <si>
    <t xml:space="preserve">uoi-0108</t>
  </si>
  <si>
    <t xml:space="preserve">sm.andrey27@gmail.com</t>
  </si>
  <si>
    <t xml:space="preserve">uoi-0109</t>
  </si>
  <si>
    <t xml:space="preserve">https://youtu.be/r-G9yGc7sqA</t>
  </si>
  <si>
    <t xml:space="preserve">https://youtu.be/VkH1HQd-ap0</t>
  </si>
  <si>
    <t xml:space="preserve">https://youtu.be/wV_QkKoES_g</t>
  </si>
  <si>
    <t xml:space="preserve">https://youtu.be/G-aDEJW32Bc</t>
  </si>
  <si>
    <t xml:space="preserve">thequantix12@gmail.com</t>
  </si>
  <si>
    <t xml:space="preserve">uoi-0112</t>
  </si>
  <si>
    <t xml:space="preserve">andriy.basov@gmail.com</t>
  </si>
  <si>
    <t xml:space="preserve">Левченко </t>
  </si>
  <si>
    <t xml:space="preserve">uoi-0111</t>
  </si>
  <si>
    <t xml:space="preserve">https://www.youtube.com/watch?v=OVdUfgQ_W-o</t>
  </si>
  <si>
    <t xml:space="preserve">https://www.youtube.com/watch?v=BOa8XJxImvA</t>
  </si>
  <si>
    <t xml:space="preserve">https://www.youtube.com/watch?v=05aXSPp2zJE</t>
  </si>
  <si>
    <t xml:space="preserve">https://www.youtube.com/watch?v=Z0nZS-LufBk</t>
  </si>
  <si>
    <t xml:space="preserve">vladilius2007@gmail.com </t>
  </si>
  <si>
    <t xml:space="preserve">Ябченко </t>
  </si>
  <si>
    <t xml:space="preserve">uoi-0113</t>
  </si>
  <si>
    <t xml:space="preserve">https://www.youtube.com/watch?v=VWtXEwJ6O_M</t>
  </si>
  <si>
    <r>
      <rPr>
        <sz val="10"/>
        <color rgb="FF0000FF"/>
        <rFont val="Arial"/>
        <family val="2"/>
        <charset val="1"/>
      </rPr>
      <t xml:space="preserve">https://www.youtube.com/watch?v=lnCiWi5ax10</t>
    </r>
    <r>
      <rPr>
        <sz val="10"/>
        <rFont val="Arial"/>
        <family val="2"/>
        <charset val="1"/>
      </rPr>
      <t xml:space="preserve"> </t>
    </r>
    <r>
      <rPr>
        <sz val="10"/>
        <color rgb="FF0000FF"/>
        <rFont val="Arial"/>
        <family val="2"/>
        <charset val="1"/>
      </rPr>
      <t xml:space="preserve">https://www.youtube.com/watch?v=xIvdEYmCVDY</t>
    </r>
  </si>
  <si>
    <t xml:space="preserve">https://www.youtube.com/watch?v=zr3iffmqLZ4</t>
  </si>
  <si>
    <t xml:space="preserve">https://www.youtube.com/watch?v=gbDqijsSqHU</t>
  </si>
  <si>
    <t xml:space="preserve">rostyslav.yabchenko@gmail.com</t>
  </si>
  <si>
    <t xml:space="preserve">Мєламуд</t>
  </si>
  <si>
    <t xml:space="preserve">uoi-0119</t>
  </si>
  <si>
    <t xml:space="preserve">https://youtu.be/QtsudOmJCNM</t>
  </si>
  <si>
    <t xml:space="preserve">https://youtu.be/Z7Qg9xvZaOI</t>
  </si>
  <si>
    <t xml:space="preserve">https://youtu.be/ga-9RqVRfN0</t>
  </si>
  <si>
    <t xml:space="preserve">https://youtu.be/8J2mL73P8Qs</t>
  </si>
  <si>
    <t xml:space="preserve">2m.roman2@gmail.com</t>
  </si>
  <si>
    <t xml:space="preserve">Гарбуза</t>
  </si>
  <si>
    <t xml:space="preserve">uoi-0120</t>
  </si>
  <si>
    <t xml:space="preserve">https://youtu.be/-Yn9zIU5jRI</t>
  </si>
  <si>
    <t xml:space="preserve">https://youtu.be/RzyBgt9YfUk?si=KP_JOy5JDec_wxUD</t>
  </si>
  <si>
    <t xml:space="preserve">https://youtu.be/ztbuflMLtkQ</t>
  </si>
  <si>
    <t xml:space="preserve">https://youtu.be/aLNPN5E1o6E?si=u7EPMR3nyYmhk6Pw</t>
  </si>
  <si>
    <t xml:space="preserve">ky.garbuza@gmail.com</t>
  </si>
  <si>
    <t xml:space="preserve">Овчаренко</t>
  </si>
  <si>
    <t xml:space="preserve">uoi-0118</t>
  </si>
  <si>
    <t xml:space="preserve">https://youtu.be/nt-qhavru2w</t>
  </si>
  <si>
    <t xml:space="preserve">https://youtu.be/MH1307j-Dmw</t>
  </si>
  <si>
    <t xml:space="preserve">https://youtu.be/ikGaCsE59EQ</t>
  </si>
  <si>
    <t xml:space="preserve">https://youtu.be/b_jRsP_Knzg</t>
  </si>
  <si>
    <t xml:space="preserve">ihnatovcharenko@gmail.com</t>
  </si>
  <si>
    <t xml:space="preserve">Скулиш</t>
  </si>
  <si>
    <t xml:space="preserve">uoi-0115</t>
  </si>
  <si>
    <t xml:space="preserve">https://www.youtube.com/watch?v=SckKoD5cMFg</t>
  </si>
  <si>
    <t xml:space="preserve">https://youtube.com/live/WGXXm5aDJyg</t>
  </si>
  <si>
    <t xml:space="preserve">https://youtu.be/55l4o9bPGkw</t>
  </si>
  <si>
    <t xml:space="preserve">https://youtu.be/rgr8xqbHKTU</t>
  </si>
  <si>
    <t xml:space="preserve">makskulysh@gmail.com</t>
  </si>
  <si>
    <t xml:space="preserve">Костенко</t>
  </si>
  <si>
    <t xml:space="preserve">uoi-0116</t>
  </si>
  <si>
    <t xml:space="preserve">https://www.youtube.com/watch?v=s37MgOxFaYk</t>
  </si>
  <si>
    <t xml:space="preserve">https://www.youtube.com/watch?v=CN4iWBfIzGE</t>
  </si>
  <si>
    <t xml:space="preserve">https://www.youtube.com/watch?v=KJ5Z0QPKC7U</t>
  </si>
  <si>
    <t xml:space="preserve">https://youtu.be/M_TZVgPmAKI</t>
  </si>
  <si>
    <t xml:space="preserve">kioc0407@gmail.com</t>
  </si>
  <si>
    <t xml:space="preserve">Синельник</t>
  </si>
  <si>
    <t xml:space="preserve">uoi-0117</t>
  </si>
  <si>
    <t xml:space="preserve">https://youtu.be/BV9-IfeI414</t>
  </si>
  <si>
    <t xml:space="preserve">https://youtu.be/G5hWYPh7_eM</t>
  </si>
  <si>
    <t xml:space="preserve">https://youtu.be/MSoGy1wiT_w</t>
  </si>
  <si>
    <t xml:space="preserve">https://youtu.be/Qiy-Hmfa0WM</t>
  </si>
  <si>
    <t xml:space="preserve">synelnyk.andrey.1234567890@gmail.com</t>
  </si>
  <si>
    <t xml:space="preserve">Завадський</t>
  </si>
  <si>
    <t xml:space="preserve">uoi-0123</t>
  </si>
  <si>
    <t xml:space="preserve">https://youtube.com/live/9qE7r-_Uv8k</t>
  </si>
  <si>
    <t xml:space="preserve">https://youtube.com/live/1NHPsnzcCgg</t>
  </si>
  <si>
    <t xml:space="preserve">https://www.youtube.com/watch?v=Xk3ZnLO267Y</t>
  </si>
  <si>
    <t xml:space="preserve">https://youtube.com/live/zBI-meW9y2A</t>
  </si>
  <si>
    <t xml:space="preserve">bohdanza87@gmail.com</t>
  </si>
  <si>
    <t xml:space="preserve">Моцак</t>
  </si>
  <si>
    <t xml:space="preserve">uoi-0114</t>
  </si>
  <si>
    <t xml:space="preserve">https://youtu.be/atRqYk0M6Uo</t>
  </si>
  <si>
    <t xml:space="preserve">https://youtu.be/8-SGlu_LKZY</t>
  </si>
  <si>
    <t xml:space="preserve">https://youtu.be/d1n-VQMS0nY</t>
  </si>
  <si>
    <t xml:space="preserve">https://youtu.be/1_C4iau5A_4</t>
  </si>
  <si>
    <t xml:space="preserve">kolamocak@gmail.com</t>
  </si>
  <si>
    <t xml:space="preserve">Дахно</t>
  </si>
  <si>
    <t xml:space="preserve">uoi-0121</t>
  </si>
  <si>
    <t xml:space="preserve">https://youtube.com/live/M7YoMqK5VpA</t>
  </si>
  <si>
    <t xml:space="preserve">https://youtube.com/live/rpRikz48CZA</t>
  </si>
  <si>
    <t xml:space="preserve">https://youtube.com/live/toKdOW9lPHE</t>
  </si>
  <si>
    <t xml:space="preserve">https://youtube.com/live/iCUtMLtha-s</t>
  </si>
  <si>
    <t xml:space="preserve">dahno@lic145.kiev.ua</t>
  </si>
  <si>
    <t xml:space="preserve">Стус</t>
  </si>
  <si>
    <t xml:space="preserve">uoi-0122</t>
  </si>
  <si>
    <t xml:space="preserve">https://youtube.com/live/UGfJZOytQMY?feature=share</t>
  </si>
  <si>
    <t xml:space="preserve">https://youtube.com/live/FDboZ-2Cops?feature=share</t>
  </si>
  <si>
    <t xml:space="preserve">https://youtube.com/live/O5LW1PflFqQ?feature=share</t>
  </si>
  <si>
    <t xml:space="preserve">https://youtube.com/live/G9dgw0wWz9s?feature=share</t>
  </si>
  <si>
    <t xml:space="preserve">yarema.stus@gmail.com</t>
  </si>
  <si>
    <t xml:space="preserve">uoi-0106</t>
  </si>
  <si>
    <t xml:space="preserve">учасниця</t>
  </si>
  <si>
    <t xml:space="preserve">p.alisa.kons@gmail.com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</si>
</sst>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General"/>
    <numFmt numFmtId="167" formatCode="0"/>
    <numFmt numFmtId="168" formatCode="@"/>
  </numFmts>
  <fonts count="63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Times New Roman"/>
      <family val="1"/>
      <charset val="1"/>
    </font>
    <font>
      <b val="true"/>
      <sz val="10"/>
      <name val="Arial Cyr"/>
      <family val="2"/>
      <charset val="204"/>
    </font>
    <font>
      <sz val="12"/>
      <name val="Times New Roman"/>
      <family val="1"/>
      <charset val="1"/>
    </font>
    <font>
      <i val="true"/>
      <sz val="12"/>
      <name val="Times New Roman"/>
      <family val="1"/>
      <charset val="1"/>
    </font>
    <font>
      <b val="true"/>
      <sz val="10"/>
      <name val="Times New Roman"/>
      <family val="1"/>
      <charset val="1"/>
    </font>
    <font>
      <sz val="12"/>
      <name val="Arial Narrow"/>
      <family val="2"/>
      <charset val="1"/>
    </font>
    <font>
      <b val="true"/>
      <sz val="12"/>
      <name val="Arial Narrow"/>
      <family val="2"/>
      <charset val="1"/>
    </font>
    <font>
      <sz val="12"/>
      <color rgb="FFE7FDFF"/>
      <name val="Arial Narrow"/>
      <family val="2"/>
      <charset val="1"/>
    </font>
    <font>
      <i val="true"/>
      <sz val="12"/>
      <color rgb="FFE7FDFF"/>
      <name val="Arial Narrow"/>
      <family val="2"/>
      <charset val="1"/>
    </font>
    <font>
      <b val="true"/>
      <sz val="8"/>
      <name val="Times New Roman"/>
      <family val="1"/>
      <charset val="1"/>
    </font>
    <font>
      <sz val="12"/>
      <name val="Times New Roman"/>
      <family val="1"/>
      <charset val="204"/>
    </font>
    <font>
      <sz val="8"/>
      <color rgb="FFE7FDFF"/>
      <name val="Tahoma"/>
      <family val="2"/>
      <charset val="204"/>
    </font>
    <font>
      <b val="true"/>
      <sz val="8"/>
      <color rgb="FFE7FDFF"/>
      <name val="Tahoma"/>
      <family val="2"/>
      <charset val="204"/>
    </font>
    <font>
      <sz val="14"/>
      <color rgb="FFE7FDFF"/>
      <name val="Times New Roman"/>
      <family val="1"/>
      <charset val="1"/>
    </font>
    <font>
      <b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Arial Narrow"/>
      <family val="2"/>
      <charset val="204"/>
    </font>
    <font>
      <i val="true"/>
      <sz val="12"/>
      <name val="Arial Narrow"/>
      <family val="2"/>
      <charset val="204"/>
    </font>
    <font>
      <sz val="10"/>
      <name val="Times New Roman"/>
      <family val="1"/>
      <charset val="1"/>
    </font>
    <font>
      <sz val="12"/>
      <color rgb="FFE7FDFF"/>
      <name val="Arial"/>
      <family val="2"/>
      <charset val="204"/>
    </font>
    <font>
      <b val="true"/>
      <sz val="12"/>
      <color rgb="FFE7FDFF"/>
      <name val="Times New Roman"/>
      <family val="1"/>
      <charset val="204"/>
    </font>
    <font>
      <sz val="12"/>
      <color rgb="FFE7FDFF"/>
      <name val="Arial Cyr"/>
      <family val="2"/>
      <charset val="204"/>
    </font>
    <font>
      <b val="true"/>
      <sz val="12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FF99CC"/>
      <name val="Times New Roman"/>
      <family val="1"/>
      <charset val="1"/>
    </font>
    <font>
      <sz val="12"/>
      <color rgb="FFE7FDFF"/>
      <name val="Tahoma"/>
      <family val="2"/>
      <charset val="204"/>
    </font>
    <font>
      <u val="single"/>
      <sz val="10"/>
      <color rgb="FF0000FF"/>
      <name val="Arial Cyr"/>
      <family val="2"/>
      <charset val="204"/>
    </font>
    <font>
      <sz val="12"/>
      <color rgb="FFFF99CC"/>
      <name val="Arial Narrow"/>
      <family val="2"/>
      <charset val="204"/>
    </font>
    <font>
      <sz val="10"/>
      <name val="Arial Narrow"/>
      <family val="2"/>
      <charset val="204"/>
    </font>
    <font>
      <sz val="12"/>
      <color rgb="FFE7FDFF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0"/>
      <color rgb="FFE7FDFF"/>
      <name val="Tahoma"/>
      <family val="2"/>
      <charset val="204"/>
    </font>
    <font>
      <sz val="12"/>
      <color rgb="FFE7FDFF"/>
      <name val="Times New Roman"/>
      <family val="1"/>
      <charset val="1"/>
    </font>
    <font>
      <sz val="14"/>
      <color rgb="FFE7FDFF"/>
      <name val="Tahoma"/>
      <family val="2"/>
      <charset val="204"/>
    </font>
    <font>
      <b val="true"/>
      <sz val="12"/>
      <name val="Calibri"/>
      <family val="2"/>
      <charset val="204"/>
    </font>
    <font>
      <b val="true"/>
      <i val="true"/>
      <sz val="12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2"/>
      <color rgb="FFFFFFFF"/>
      <name val="Tahoma"/>
      <family val="2"/>
      <charset val="204"/>
    </font>
    <font>
      <b val="true"/>
      <sz val="8"/>
      <color rgb="FFFFFFFF"/>
      <name val="Tahoma"/>
      <family val="2"/>
      <charset val="204"/>
    </font>
    <font>
      <sz val="12"/>
      <color rgb="FFFFFFFF"/>
      <name val="Arial Narrow"/>
      <family val="2"/>
      <charset val="204"/>
    </font>
    <font>
      <sz val="12"/>
      <color rgb="FF000000"/>
      <name val="Tahoma"/>
      <family val="2"/>
      <charset val="204"/>
    </font>
    <font>
      <b val="true"/>
      <sz val="8"/>
      <color rgb="FF000000"/>
      <name val="Tahoma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  <font>
      <b val="true"/>
      <sz val="12"/>
      <color rgb="FFFFFFFF"/>
      <name val="Arial Narrow"/>
      <family val="2"/>
      <charset val="204"/>
    </font>
    <font>
      <u val="single"/>
      <sz val="12"/>
      <color rgb="FFFFFFFF"/>
      <name val="Arial Narrow"/>
      <family val="2"/>
      <charset val="204"/>
    </font>
    <font>
      <sz val="10"/>
      <color rgb="FFFFFFFF"/>
      <name val="Arial Cyr"/>
      <family val="2"/>
      <charset val="204"/>
    </font>
    <font>
      <sz val="12"/>
      <color rgb="FF000000"/>
      <name val="Tahoma"/>
      <family val="2"/>
      <charset val="1"/>
    </font>
    <font>
      <sz val="11"/>
      <color rgb="FF000000"/>
      <name val="Tahoma"/>
      <family val="2"/>
      <charset val="1"/>
    </font>
    <font>
      <sz val="8"/>
      <color rgb="FF000000"/>
      <name val="Tahoma"/>
      <family val="2"/>
      <charset val="204"/>
    </font>
    <font>
      <b val="true"/>
      <sz val="9"/>
      <color rgb="FF000000"/>
      <name val="Tahoma"/>
      <family val="0"/>
      <charset val="1"/>
    </font>
    <font>
      <sz val="12"/>
      <name val="Liberation Sans Narrow"/>
      <family val="2"/>
      <charset val="1"/>
    </font>
    <font>
      <sz val="12"/>
      <color rgb="FFFFFFFF"/>
      <name val="Liberation Sans Narrow"/>
      <family val="2"/>
      <charset val="1"/>
    </font>
    <font>
      <b val="true"/>
      <sz val="12"/>
      <name val="Liberation Sans Narrow"/>
      <family val="2"/>
      <charset val="1"/>
    </font>
    <font>
      <b val="true"/>
      <sz val="12"/>
      <color rgb="FFFFFFFF"/>
      <name val="Liberation Sans Narrow"/>
      <family val="2"/>
      <charset val="1"/>
    </font>
    <font>
      <sz val="12"/>
      <color rgb="FF000000"/>
      <name val="Liberation Sans Narrow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2"/>
      <color rgb="FF0000FF"/>
      <name val="Liberation Sans Narrow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E7FDFF"/>
      </patternFill>
    </fill>
    <fill>
      <patternFill patternType="solid">
        <fgColor rgb="FFFF99CC"/>
        <bgColor rgb="FFFF8080"/>
      </patternFill>
    </fill>
    <fill>
      <patternFill patternType="solid">
        <fgColor rgb="FFC0C0C0"/>
        <bgColor rgb="FFB7DEE8"/>
      </patternFill>
    </fill>
    <fill>
      <patternFill patternType="solid">
        <fgColor rgb="FFFF0000"/>
        <bgColor rgb="FF993300"/>
      </patternFill>
    </fill>
    <fill>
      <patternFill patternType="solid">
        <fgColor rgb="FF99CC00"/>
        <bgColor rgb="FF81D41A"/>
      </patternFill>
    </fill>
    <fill>
      <patternFill patternType="solid">
        <fgColor rgb="FFFFFFFF"/>
        <bgColor rgb="FFE7FDFF"/>
      </patternFill>
    </fill>
    <fill>
      <patternFill patternType="solid">
        <fgColor rgb="FFB7DEE8"/>
        <bgColor rgb="FF99CCFF"/>
      </patternFill>
    </fill>
    <fill>
      <patternFill patternType="solid">
        <fgColor rgb="FF92D050"/>
        <bgColor rgb="FF81D41A"/>
      </patternFill>
    </fill>
    <fill>
      <patternFill patternType="solid">
        <fgColor rgb="FFFFFFCC"/>
        <bgColor rgb="FFFFFFFF"/>
      </patternFill>
    </fill>
    <fill>
      <patternFill patternType="solid">
        <fgColor rgb="FFFFCCCC"/>
        <bgColor rgb="FFC0C0C0"/>
      </patternFill>
    </fill>
    <fill>
      <patternFill patternType="solid">
        <fgColor rgb="FF81D41A"/>
        <bgColor rgb="FF99CC0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1F1C1B"/>
      </left>
      <right style="thin">
        <color rgb="FF1F1C1B"/>
      </right>
      <top style="thin">
        <color rgb="FF1F1C1B"/>
      </top>
      <bottom style="thin">
        <color rgb="FF1F1C1B"/>
      </bottom>
      <diagonal/>
    </border>
    <border diagonalUp="false" diagonalDown="false">
      <left style="thin">
        <color rgb="FF1F1C1B"/>
      </left>
      <right style="thin">
        <color rgb="FF1F1C1B"/>
      </right>
      <top style="thin">
        <color rgb="FF1F1C1B"/>
      </top>
      <bottom/>
      <diagonal/>
    </border>
    <border diagonalUp="false" diagonalDown="false">
      <left style="thin">
        <color rgb="FF1F1C1B"/>
      </left>
      <right style="thin">
        <color rgb="FF1F1C1B"/>
      </right>
      <top/>
      <bottom style="thin">
        <color rgb="FF1F1C1B"/>
      </bottom>
      <diagonal/>
    </border>
    <border diagonalUp="false" diagonalDown="false">
      <left style="thin">
        <color rgb="FF1F1C1B"/>
      </left>
      <right/>
      <top/>
      <bottom style="thin">
        <color rgb="FF1F1C1B"/>
      </bottom>
      <diagonal/>
    </border>
    <border diagonalUp="false" diagonalDown="false">
      <left style="thin">
        <color rgb="FF1F1C1B"/>
      </left>
      <right/>
      <top style="thin">
        <color rgb="FF1F1C1B"/>
      </top>
      <bottom style="thin">
        <color rgb="FF1F1C1B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rgb="FF1F1C1B"/>
      </right>
      <top style="thin">
        <color rgb="FF1F1C1B"/>
      </top>
      <bottom style="thin">
        <color rgb="FF1F1C1B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333333"/>
      </left>
      <right/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1F1C1B"/>
      </left>
      <right/>
      <top style="thin">
        <color rgb="FF1F1C1B"/>
      </top>
      <bottom/>
      <diagonal/>
    </border>
    <border diagonalUp="false" diagonalDown="false">
      <left/>
      <right style="thin">
        <color rgb="FF1F1C1B"/>
      </right>
      <top style="thin">
        <color rgb="FF1F1C1B"/>
      </top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28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1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0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3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1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3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0" fillId="11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0" fillId="11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4" fillId="11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11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0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1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4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9" fillId="0" borderId="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20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0" fillId="1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4" fillId="1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1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17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7" fillId="0" borderId="1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5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5" fillId="1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0" fillId="1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2" fillId="15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1D41A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FD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2D050"/>
      <rgbColor rgb="FF003366"/>
      <rgbColor rgb="FF339966"/>
      <rgbColor rgb="FF003300"/>
      <rgbColor rgb="FF1F1C1B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9000</xdr:colOff>
      <xdr:row>23</xdr:row>
      <xdr:rowOff>56880</xdr:rowOff>
    </xdr:to>
    <xdr:pic>
      <xdr:nvPicPr>
        <xdr:cNvPr id="0" name="Рисунок 1" descr="https://ssl.gstatic.com/ui/v1/icons/mail/images/cleardot.gif"/>
        <xdr:cNvPicPr/>
      </xdr:nvPicPr>
      <xdr:blipFill>
        <a:blip r:embed="rId1"/>
        <a:stretch/>
      </xdr:blipFill>
      <xdr:spPr>
        <a:xfrm>
          <a:off x="0" y="0"/>
          <a:ext cx="9000" cy="5447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9000</xdr:colOff>
      <xdr:row>41</xdr:row>
      <xdr:rowOff>66240</xdr:rowOff>
    </xdr:to>
    <xdr:pic>
      <xdr:nvPicPr>
        <xdr:cNvPr id="1" name="Рисунок 2" descr="https://ssl.gstatic.com/ui/v1/icons/mail/images/cleardot.gif"/>
        <xdr:cNvPicPr/>
      </xdr:nvPicPr>
      <xdr:blipFill>
        <a:blip r:embed="rId2"/>
        <a:stretch/>
      </xdr:blipFill>
      <xdr:spPr>
        <a:xfrm>
          <a:off x="0" y="0"/>
          <a:ext cx="9000" cy="922896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8.v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9.v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0.v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11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12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3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4.v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comments" Target="../comments17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15.v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comments" Target="../comments18.xml"/><Relationship Id="rId2" Type="http://schemas.openxmlformats.org/officeDocument/2006/relationships/hyperlink" Target="mailto:a.i.kovrigin@gmail.com" TargetMode="External"/><Relationship Id="rId3" Type="http://schemas.openxmlformats.org/officeDocument/2006/relationships/hyperlink" Target="mailto:filkinkuiv@gmail.com" TargetMode="External"/><Relationship Id="rId4" Type="http://schemas.openxmlformats.org/officeDocument/2006/relationships/hyperlink" Target="mailto:nikermax@ukr.net" TargetMode="External"/><Relationship Id="rId5" Type="http://schemas.openxmlformats.org/officeDocument/2006/relationships/hyperlink" Target="mailto:vanya.ramik@gmail.com" TargetMode="External"/><Relationship Id="rId6" Type="http://schemas.openxmlformats.org/officeDocument/2006/relationships/hyperlink" Target="mailto:antvakhitov@gmail.com" TargetMode="External"/><Relationship Id="rId7" Type="http://schemas.openxmlformats.org/officeDocument/2006/relationships/hyperlink" Target="mailto:denis.shcherbak@gmail.com" TargetMode="External"/><Relationship Id="rId8" Type="http://schemas.openxmlformats.org/officeDocument/2006/relationships/hyperlink" Target="mailto:ole.bilyk@gmail.com" TargetMode="External"/><Relationship Id="rId9" Type="http://schemas.openxmlformats.org/officeDocument/2006/relationships/hyperlink" Target="mailto:veronika.netch@gmail.com" TargetMode="External"/><Relationship Id="rId10" Type="http://schemas.openxmlformats.org/officeDocument/2006/relationships/hyperlink" Target="mailto:astopchatyy@gmail.com" TargetMode="External"/><Relationship Id="rId11" Type="http://schemas.openxmlformats.org/officeDocument/2006/relationships/drawing" Target="../drawings/drawing8.xml"/><Relationship Id="rId12" Type="http://schemas.openxmlformats.org/officeDocument/2006/relationships/vmlDrawing" Target="../drawings/vmlDrawing16.v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comments" Target="../comments19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17.v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comments" Target="../comments20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18.v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comments" Target="../comments21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19.v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comments" Target="../comments22.xml"/><Relationship Id="rId2" Type="http://schemas.openxmlformats.org/officeDocument/2006/relationships/hyperlink" Target="https://youtu.be/M_TZVgPmAKI" TargetMode="External"/><Relationship Id="rId3" Type="http://schemas.openxmlformats.org/officeDocument/2006/relationships/vmlDrawing" Target="../drawings/vmlDrawing20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4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5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6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7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2" activeCellId="0" sqref="L2"/>
    </sheetView>
  </sheetViews>
  <sheetFormatPr defaultColWidth="9.15625" defaultRowHeight="15.95" zeroHeight="false" outlineLevelRow="0" outlineLevelCol="0"/>
  <cols>
    <col collapsed="false" customWidth="true" hidden="false" outlineLevel="0" max="1" min="1" style="1" width="26"/>
    <col collapsed="false" customWidth="true" hidden="false" outlineLevel="0" max="2" min="2" style="1" width="6.28"/>
    <col collapsed="false" customWidth="false" hidden="false" outlineLevel="0" max="3" min="3" style="1" width="9.14"/>
    <col collapsed="false" customWidth="true" hidden="false" outlineLevel="0" max="4" min="4" style="1" width="5.14"/>
    <col collapsed="false" customWidth="true" hidden="false" outlineLevel="0" max="5" min="5" style="1" width="6.57"/>
    <col collapsed="false" customWidth="true" hidden="false" outlineLevel="0" max="6" min="6" style="1" width="6.42"/>
    <col collapsed="false" customWidth="true" hidden="false" outlineLevel="0" max="7" min="7" style="1" width="6.28"/>
    <col collapsed="false" customWidth="true" hidden="false" outlineLevel="0" max="8" min="8" style="1" width="6.42"/>
    <col collapsed="false" customWidth="true" hidden="false" outlineLevel="0" max="9" min="9" style="1" width="5.86"/>
    <col collapsed="false" customWidth="true" hidden="false" outlineLevel="0" max="10" min="10" style="1" width="6.28"/>
    <col collapsed="false" customWidth="true" hidden="false" outlineLevel="0" max="11" min="11" style="1" width="5.28"/>
    <col collapsed="false" customWidth="true" hidden="false" outlineLevel="0" max="12" min="12" style="1" width="6.15"/>
    <col collapsed="false" customWidth="true" hidden="false" outlineLevel="0" max="13" min="13" style="1" width="10.99"/>
    <col collapsed="false" customWidth="false" hidden="false" outlineLevel="0" max="1024" min="14" style="1" width="9.14"/>
  </cols>
  <sheetData>
    <row r="1" s="3" customFormat="true" ht="15.95" hidden="false" customHeight="true" outlineLevel="0" collapsed="false">
      <c r="A1" s="2" t="s">
        <v>0</v>
      </c>
      <c r="B1" s="2" t="s">
        <v>1</v>
      </c>
      <c r="C1" s="2" t="s">
        <v>2</v>
      </c>
      <c r="D1" s="2" t="n">
        <v>1</v>
      </c>
      <c r="E1" s="2" t="n">
        <v>2</v>
      </c>
      <c r="F1" s="2" t="n">
        <v>3</v>
      </c>
      <c r="G1" s="2" t="n">
        <v>4</v>
      </c>
      <c r="H1" s="2" t="n">
        <v>5</v>
      </c>
      <c r="I1" s="2" t="n">
        <v>6</v>
      </c>
      <c r="J1" s="2" t="n">
        <v>7</v>
      </c>
      <c r="K1" s="2" t="n">
        <v>8</v>
      </c>
      <c r="L1" s="2" t="s">
        <v>3</v>
      </c>
      <c r="M1" s="2" t="s">
        <v>4</v>
      </c>
    </row>
    <row r="2" customFormat="false" ht="15.95" hidden="false" customHeight="true" outlineLevel="0" collapsed="false">
      <c r="A2" s="4" t="s">
        <v>5</v>
      </c>
      <c r="B2" s="5" t="n">
        <v>10</v>
      </c>
      <c r="C2" s="6" t="s">
        <v>6</v>
      </c>
      <c r="D2" s="7" t="s">
        <v>7</v>
      </c>
      <c r="E2" s="7" t="s">
        <v>7</v>
      </c>
      <c r="F2" s="7" t="s">
        <v>7</v>
      </c>
      <c r="G2" s="7" t="s">
        <v>7</v>
      </c>
      <c r="H2" s="8" t="s">
        <v>8</v>
      </c>
      <c r="I2" s="7" t="s">
        <v>7</v>
      </c>
      <c r="J2" s="7" t="s">
        <v>7</v>
      </c>
      <c r="K2" s="8" t="s">
        <v>9</v>
      </c>
      <c r="L2" s="4" t="s">
        <v>10</v>
      </c>
      <c r="M2" s="2" t="s">
        <v>11</v>
      </c>
    </row>
    <row r="3" customFormat="false" ht="15.95" hidden="false" customHeight="true" outlineLevel="0" collapsed="false">
      <c r="A3" s="4" t="s">
        <v>12</v>
      </c>
      <c r="B3" s="5" t="n">
        <v>11</v>
      </c>
      <c r="C3" s="6" t="n">
        <v>145</v>
      </c>
      <c r="D3" s="8" t="s">
        <v>13</v>
      </c>
      <c r="E3" s="7" t="s">
        <v>7</v>
      </c>
      <c r="F3" s="8" t="s">
        <v>14</v>
      </c>
      <c r="G3" s="7" t="s">
        <v>7</v>
      </c>
      <c r="H3" s="8" t="s">
        <v>15</v>
      </c>
      <c r="I3" s="7" t="s">
        <v>7</v>
      </c>
      <c r="J3" s="8" t="s">
        <v>16</v>
      </c>
      <c r="K3" s="9" t="s">
        <v>17</v>
      </c>
      <c r="L3" s="4" t="s">
        <v>18</v>
      </c>
      <c r="M3" s="2" t="s">
        <v>11</v>
      </c>
    </row>
    <row r="4" customFormat="false" ht="15.95" hidden="false" customHeight="true" outlineLevel="0" collapsed="false">
      <c r="A4" s="4" t="s">
        <v>19</v>
      </c>
      <c r="B4" s="5" t="n">
        <v>11</v>
      </c>
      <c r="C4" s="6" t="n">
        <v>145</v>
      </c>
      <c r="D4" s="7" t="s">
        <v>7</v>
      </c>
      <c r="E4" s="9" t="s">
        <v>20</v>
      </c>
      <c r="F4" s="7" t="s">
        <v>7</v>
      </c>
      <c r="G4" s="8" t="s">
        <v>15</v>
      </c>
      <c r="H4" s="8" t="s">
        <v>21</v>
      </c>
      <c r="I4" s="7" t="s">
        <v>7</v>
      </c>
      <c r="J4" s="8" t="s">
        <v>22</v>
      </c>
      <c r="K4" s="7" t="s">
        <v>7</v>
      </c>
      <c r="L4" s="4" t="s">
        <v>23</v>
      </c>
      <c r="M4" s="2" t="s">
        <v>11</v>
      </c>
    </row>
    <row r="5" customFormat="false" ht="15.95" hidden="false" customHeight="true" outlineLevel="0" collapsed="false">
      <c r="A5" s="8" t="s">
        <v>24</v>
      </c>
      <c r="B5" s="5" t="n">
        <v>11</v>
      </c>
      <c r="C5" s="6" t="s">
        <v>6</v>
      </c>
      <c r="D5" s="7" t="s">
        <v>7</v>
      </c>
      <c r="E5" s="8" t="s">
        <v>25</v>
      </c>
      <c r="F5" s="8" t="s">
        <v>26</v>
      </c>
      <c r="G5" s="8" t="s">
        <v>27</v>
      </c>
      <c r="H5" s="7" t="s">
        <v>7</v>
      </c>
      <c r="I5" s="7" t="s">
        <v>7</v>
      </c>
      <c r="J5" s="8" t="s">
        <v>28</v>
      </c>
      <c r="K5" s="9" t="s">
        <v>29</v>
      </c>
      <c r="L5" s="8" t="s">
        <v>30</v>
      </c>
      <c r="M5" s="6" t="s">
        <v>31</v>
      </c>
    </row>
    <row r="6" customFormat="false" ht="15.95" hidden="false" customHeight="true" outlineLevel="0" collapsed="false">
      <c r="A6" s="4" t="s">
        <v>32</v>
      </c>
      <c r="B6" s="5" t="n">
        <v>9</v>
      </c>
      <c r="C6" s="6" t="n">
        <v>241</v>
      </c>
      <c r="D6" s="7" t="s">
        <v>7</v>
      </c>
      <c r="E6" s="8" t="s">
        <v>28</v>
      </c>
      <c r="F6" s="7" t="s">
        <v>7</v>
      </c>
      <c r="G6" s="8" t="s">
        <v>33</v>
      </c>
      <c r="H6" s="8" t="s">
        <v>34</v>
      </c>
      <c r="I6" s="7" t="s">
        <v>7</v>
      </c>
      <c r="J6" s="8" t="s">
        <v>35</v>
      </c>
      <c r="K6" s="8" t="s">
        <v>36</v>
      </c>
      <c r="L6" s="4" t="s">
        <v>37</v>
      </c>
      <c r="M6" s="2" t="s">
        <v>11</v>
      </c>
    </row>
    <row r="7" customFormat="false" ht="15.95" hidden="false" customHeight="true" outlineLevel="0" collapsed="false">
      <c r="A7" s="8" t="s">
        <v>38</v>
      </c>
      <c r="B7" s="5" t="n">
        <v>10</v>
      </c>
      <c r="C7" s="6" t="s">
        <v>6</v>
      </c>
      <c r="D7" s="8" t="s">
        <v>39</v>
      </c>
      <c r="E7" s="8" t="s">
        <v>40</v>
      </c>
      <c r="F7" s="8" t="s">
        <v>41</v>
      </c>
      <c r="G7" s="7" t="s">
        <v>7</v>
      </c>
      <c r="H7" s="7" t="s">
        <v>7</v>
      </c>
      <c r="I7" s="8" t="s">
        <v>42</v>
      </c>
      <c r="J7" s="8" t="s">
        <v>39</v>
      </c>
      <c r="K7" s="9" t="s">
        <v>29</v>
      </c>
      <c r="L7" s="8" t="s">
        <v>43</v>
      </c>
      <c r="M7" s="6" t="s">
        <v>31</v>
      </c>
    </row>
    <row r="8" customFormat="false" ht="15.95" hidden="false" customHeight="true" outlineLevel="0" collapsed="false">
      <c r="A8" s="8" t="s">
        <v>44</v>
      </c>
      <c r="B8" s="5" t="n">
        <v>11</v>
      </c>
      <c r="C8" s="6" t="n">
        <v>171</v>
      </c>
      <c r="D8" s="7" t="s">
        <v>7</v>
      </c>
      <c r="E8" s="8" t="s">
        <v>45</v>
      </c>
      <c r="F8" s="7" t="s">
        <v>7</v>
      </c>
      <c r="G8" s="8" t="s">
        <v>27</v>
      </c>
      <c r="H8" s="8" t="s">
        <v>46</v>
      </c>
      <c r="I8" s="8" t="s">
        <v>42</v>
      </c>
      <c r="J8" s="8" t="s">
        <v>28</v>
      </c>
      <c r="K8" s="9" t="s">
        <v>47</v>
      </c>
      <c r="L8" s="8" t="s">
        <v>48</v>
      </c>
      <c r="M8" s="6" t="s">
        <v>31</v>
      </c>
    </row>
    <row r="9" customFormat="false" ht="15.95" hidden="false" customHeight="true" outlineLevel="0" collapsed="false">
      <c r="A9" s="8" t="s">
        <v>49</v>
      </c>
      <c r="B9" s="5" t="n">
        <v>11</v>
      </c>
      <c r="C9" s="6" t="n">
        <v>172</v>
      </c>
      <c r="D9" s="8" t="s">
        <v>50</v>
      </c>
      <c r="E9" s="8" t="s">
        <v>51</v>
      </c>
      <c r="F9" s="8" t="s">
        <v>52</v>
      </c>
      <c r="G9" s="8" t="s">
        <v>53</v>
      </c>
      <c r="H9" s="8" t="s">
        <v>54</v>
      </c>
      <c r="I9" s="8" t="s">
        <v>42</v>
      </c>
      <c r="J9" s="9" t="s">
        <v>29</v>
      </c>
      <c r="K9" s="8" t="s">
        <v>55</v>
      </c>
      <c r="L9" s="8" t="s">
        <v>56</v>
      </c>
      <c r="M9" s="6" t="s">
        <v>31</v>
      </c>
    </row>
    <row r="10" customFormat="false" ht="15.95" hidden="false" customHeight="true" outlineLevel="0" collapsed="false">
      <c r="A10" s="8" t="s">
        <v>57</v>
      </c>
      <c r="B10" s="5" t="n">
        <v>11</v>
      </c>
      <c r="C10" s="6" t="n">
        <v>157</v>
      </c>
      <c r="D10" s="7" t="s">
        <v>7</v>
      </c>
      <c r="E10" s="8" t="s">
        <v>46</v>
      </c>
      <c r="F10" s="8" t="s">
        <v>50</v>
      </c>
      <c r="G10" s="8" t="s">
        <v>58</v>
      </c>
      <c r="H10" s="8" t="s">
        <v>46</v>
      </c>
      <c r="I10" s="8" t="s">
        <v>59</v>
      </c>
      <c r="J10" s="9" t="s">
        <v>60</v>
      </c>
      <c r="K10" s="8" t="s">
        <v>61</v>
      </c>
      <c r="L10" s="8" t="s">
        <v>62</v>
      </c>
      <c r="M10" s="6" t="s">
        <v>31</v>
      </c>
    </row>
    <row r="11" customFormat="false" ht="15.95" hidden="false" customHeight="true" outlineLevel="0" collapsed="false">
      <c r="A11" s="8" t="s">
        <v>63</v>
      </c>
      <c r="B11" s="5" t="n">
        <v>11</v>
      </c>
      <c r="C11" s="6" t="n">
        <v>208</v>
      </c>
      <c r="D11" s="7" t="s">
        <v>7</v>
      </c>
      <c r="E11" s="8" t="s">
        <v>64</v>
      </c>
      <c r="F11" s="8" t="s">
        <v>50</v>
      </c>
      <c r="G11" s="8" t="s">
        <v>58</v>
      </c>
      <c r="H11" s="8" t="s">
        <v>21</v>
      </c>
      <c r="I11" s="8" t="s">
        <v>42</v>
      </c>
      <c r="J11" s="9" t="s">
        <v>60</v>
      </c>
      <c r="K11" s="8" t="s">
        <v>65</v>
      </c>
      <c r="L11" s="8" t="s">
        <v>66</v>
      </c>
      <c r="M11" s="6" t="s">
        <v>31</v>
      </c>
    </row>
    <row r="12" customFormat="false" ht="15.95" hidden="false" customHeight="true" outlineLevel="0" collapsed="false">
      <c r="A12" s="8" t="s">
        <v>67</v>
      </c>
      <c r="B12" s="5" t="n">
        <v>10</v>
      </c>
      <c r="C12" s="6" t="n">
        <v>171</v>
      </c>
      <c r="D12" s="7" t="s">
        <v>7</v>
      </c>
      <c r="E12" s="8" t="s">
        <v>46</v>
      </c>
      <c r="F12" s="7" t="s">
        <v>7</v>
      </c>
      <c r="G12" s="8" t="s">
        <v>33</v>
      </c>
      <c r="H12" s="8" t="s">
        <v>68</v>
      </c>
      <c r="I12" s="8" t="s">
        <v>42</v>
      </c>
      <c r="J12" s="8" t="s">
        <v>60</v>
      </c>
      <c r="K12" s="9" t="s">
        <v>69</v>
      </c>
      <c r="L12" s="8" t="s">
        <v>70</v>
      </c>
      <c r="M12" s="6" t="s">
        <v>31</v>
      </c>
    </row>
    <row r="13" customFormat="false" ht="15.95" hidden="false" customHeight="true" outlineLevel="0" collapsed="false">
      <c r="A13" s="8" t="s">
        <v>71</v>
      </c>
      <c r="B13" s="5" t="n">
        <v>10</v>
      </c>
      <c r="C13" s="6" t="n">
        <v>145</v>
      </c>
      <c r="D13" s="8" t="s">
        <v>61</v>
      </c>
      <c r="E13" s="8" t="s">
        <v>72</v>
      </c>
      <c r="F13" s="8" t="s">
        <v>50</v>
      </c>
      <c r="G13" s="8" t="s">
        <v>73</v>
      </c>
      <c r="H13" s="8" t="s">
        <v>74</v>
      </c>
      <c r="I13" s="7" t="s">
        <v>7</v>
      </c>
      <c r="J13" s="8" t="s">
        <v>64</v>
      </c>
      <c r="K13" s="9" t="s">
        <v>29</v>
      </c>
      <c r="L13" s="8" t="s">
        <v>75</v>
      </c>
      <c r="M13" s="6" t="s">
        <v>31</v>
      </c>
    </row>
    <row r="14" customFormat="false" ht="15.95" hidden="false" customHeight="true" outlineLevel="0" collapsed="false">
      <c r="A14" s="8" t="s">
        <v>76</v>
      </c>
      <c r="B14" s="5" t="n">
        <v>9</v>
      </c>
      <c r="C14" s="6" t="n">
        <v>145</v>
      </c>
      <c r="D14" s="8" t="s">
        <v>77</v>
      </c>
      <c r="E14" s="8" t="s">
        <v>78</v>
      </c>
      <c r="F14" s="8" t="s">
        <v>78</v>
      </c>
      <c r="G14" s="8" t="s">
        <v>79</v>
      </c>
      <c r="H14" s="8" t="s">
        <v>80</v>
      </c>
      <c r="I14" s="8" t="s">
        <v>42</v>
      </c>
      <c r="J14" s="8" t="s">
        <v>81</v>
      </c>
      <c r="K14" s="9" t="s">
        <v>82</v>
      </c>
      <c r="L14" s="8" t="s">
        <v>83</v>
      </c>
      <c r="M14" s="6" t="s">
        <v>31</v>
      </c>
    </row>
    <row r="15" customFormat="false" ht="15.95" hidden="false" customHeight="true" outlineLevel="0" collapsed="false">
      <c r="A15" s="8" t="s">
        <v>84</v>
      </c>
      <c r="B15" s="5" t="n">
        <v>9</v>
      </c>
      <c r="C15" s="6" t="n">
        <v>145</v>
      </c>
      <c r="D15" s="8" t="s">
        <v>61</v>
      </c>
      <c r="E15" s="8" t="s">
        <v>78</v>
      </c>
      <c r="F15" s="8" t="s">
        <v>72</v>
      </c>
      <c r="G15" s="8" t="s">
        <v>29</v>
      </c>
      <c r="H15" s="8" t="s">
        <v>85</v>
      </c>
      <c r="I15" s="8" t="s">
        <v>86</v>
      </c>
      <c r="J15" s="8" t="s">
        <v>81</v>
      </c>
      <c r="K15" s="9" t="s">
        <v>29</v>
      </c>
      <c r="L15" s="8" t="s">
        <v>87</v>
      </c>
      <c r="M15" s="6" t="s">
        <v>31</v>
      </c>
    </row>
    <row r="16" customFormat="false" ht="15.95" hidden="false" customHeight="true" outlineLevel="0" collapsed="false">
      <c r="A16" s="8" t="s">
        <v>88</v>
      </c>
      <c r="B16" s="5" t="n">
        <v>11</v>
      </c>
      <c r="C16" s="6" t="s">
        <v>6</v>
      </c>
      <c r="D16" s="8" t="s">
        <v>46</v>
      </c>
      <c r="E16" s="8" t="s">
        <v>89</v>
      </c>
      <c r="F16" s="8" t="s">
        <v>90</v>
      </c>
      <c r="G16" s="8" t="s">
        <v>29</v>
      </c>
      <c r="H16" s="8" t="s">
        <v>29</v>
      </c>
      <c r="I16" s="8" t="s">
        <v>29</v>
      </c>
      <c r="J16" s="8" t="s">
        <v>29</v>
      </c>
      <c r="K16" s="8" t="s">
        <v>29</v>
      </c>
      <c r="L16" s="8" t="s">
        <v>91</v>
      </c>
      <c r="M16" s="6" t="s">
        <v>31</v>
      </c>
    </row>
    <row r="17" customFormat="false" ht="15.95" hidden="false" customHeight="true" outlineLevel="0" collapsed="false">
      <c r="A17" s="8" t="s">
        <v>92</v>
      </c>
      <c r="B17" s="5" t="n">
        <v>9</v>
      </c>
      <c r="C17" s="6" t="n">
        <v>171</v>
      </c>
      <c r="D17" s="8" t="s">
        <v>29</v>
      </c>
      <c r="E17" s="8" t="s">
        <v>29</v>
      </c>
      <c r="F17" s="8" t="s">
        <v>81</v>
      </c>
      <c r="G17" s="8" t="s">
        <v>79</v>
      </c>
      <c r="H17" s="8" t="s">
        <v>85</v>
      </c>
      <c r="I17" s="8" t="s">
        <v>29</v>
      </c>
      <c r="J17" s="8" t="s">
        <v>29</v>
      </c>
      <c r="K17" s="9" t="s">
        <v>29</v>
      </c>
      <c r="L17" s="8" t="s">
        <v>93</v>
      </c>
      <c r="M17" s="6" t="s">
        <v>31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F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9.15625" defaultRowHeight="15.75" zeroHeight="false" outlineLevelRow="0" outlineLevelCol="0"/>
  <cols>
    <col collapsed="false" customWidth="true" hidden="false" outlineLevel="0" max="1" min="1" style="10" width="32.71"/>
    <col collapsed="false" customWidth="true" hidden="false" outlineLevel="0" max="2" min="2" style="22" width="3.86"/>
    <col collapsed="false" customWidth="true" hidden="false" outlineLevel="0" max="3" min="3" style="121" width="3.42"/>
    <col collapsed="false" customWidth="true" hidden="false" outlineLevel="0" max="4" min="4" style="146" width="5.7"/>
    <col collapsed="false" customWidth="true" hidden="false" outlineLevel="0" max="8" min="5" style="23" width="5.7"/>
    <col collapsed="false" customWidth="true" hidden="false" outlineLevel="0" max="9" min="9" style="147" width="7.15"/>
    <col collapsed="false" customWidth="true" hidden="false" outlineLevel="0" max="11" min="10" style="11" width="5.7"/>
    <col collapsed="false" customWidth="true" hidden="false" outlineLevel="0" max="12" min="12" style="22" width="5.7"/>
    <col collapsed="false" customWidth="true" hidden="false" outlineLevel="0" max="13" min="13" style="24" width="8.14"/>
    <col collapsed="false" customWidth="true" hidden="true" outlineLevel="0" max="14" min="14" style="10" width="11.52"/>
    <col collapsed="false" customWidth="true" hidden="true" outlineLevel="0" max="15" min="15" style="16" width="11.52"/>
    <col collapsed="false" customWidth="false" hidden="false" outlineLevel="0" max="1024" min="16" style="10" width="9.14"/>
  </cols>
  <sheetData>
    <row r="1" s="112" customFormat="true" ht="37.5" hidden="false" customHeight="true" outlineLevel="0" collapsed="false">
      <c r="A1" s="107" t="s">
        <v>119</v>
      </c>
      <c r="B1" s="108" t="s">
        <v>2</v>
      </c>
      <c r="C1" s="122" t="s">
        <v>1</v>
      </c>
      <c r="D1" s="148" t="s">
        <v>298</v>
      </c>
      <c r="E1" s="123" t="s">
        <v>261</v>
      </c>
      <c r="F1" s="123" t="s">
        <v>299</v>
      </c>
      <c r="G1" s="123" t="s">
        <v>300</v>
      </c>
      <c r="H1" s="123" t="s">
        <v>301</v>
      </c>
      <c r="I1" s="124" t="s">
        <v>302</v>
      </c>
      <c r="J1" s="124" t="s">
        <v>303</v>
      </c>
      <c r="K1" s="124" t="s">
        <v>304</v>
      </c>
      <c r="L1" s="107" t="s">
        <v>3</v>
      </c>
      <c r="M1" s="107" t="s">
        <v>4</v>
      </c>
      <c r="O1" s="107" t="s">
        <v>305</v>
      </c>
    </row>
    <row r="2" customFormat="false" ht="15.75" hidden="false" customHeight="true" outlineLevel="0" collapsed="false">
      <c r="A2" s="79" t="s">
        <v>278</v>
      </c>
      <c r="B2" s="73" t="s">
        <v>6</v>
      </c>
      <c r="C2" s="75" t="n">
        <v>11</v>
      </c>
      <c r="D2" s="127" t="n">
        <v>0.461538461538462</v>
      </c>
      <c r="E2" s="125" t="n">
        <v>0.865</v>
      </c>
      <c r="F2" s="127" t="n">
        <v>0.708333333333333</v>
      </c>
      <c r="G2" s="127" t="n">
        <v>0.444444444444444</v>
      </c>
      <c r="H2" s="127" t="n">
        <v>0.294117647058824</v>
      </c>
      <c r="I2" s="127" t="n">
        <v>0.65</v>
      </c>
      <c r="J2" s="149" t="n">
        <v>1</v>
      </c>
      <c r="K2" s="127" t="n">
        <v>0.245</v>
      </c>
      <c r="L2" s="130" t="n">
        <f aca="false">SUM(D2:K2)</f>
        <v>4.66843388637506</v>
      </c>
      <c r="M2" s="150" t="s">
        <v>103</v>
      </c>
      <c r="N2" s="151" t="n">
        <v>5691641</v>
      </c>
      <c r="O2" s="134" t="n">
        <v>20</v>
      </c>
    </row>
    <row r="3" customFormat="false" ht="15.75" hidden="false" customHeight="true" outlineLevel="0" collapsed="false">
      <c r="A3" s="79" t="s">
        <v>281</v>
      </c>
      <c r="B3" s="73" t="n">
        <v>171</v>
      </c>
      <c r="C3" s="152" t="n">
        <v>11</v>
      </c>
      <c r="D3" s="127" t="n">
        <v>0.384615384615385</v>
      </c>
      <c r="E3" s="127" t="n">
        <v>0.69</v>
      </c>
      <c r="F3" s="125" t="n">
        <v>0.791666666666667</v>
      </c>
      <c r="G3" s="127" t="n">
        <v>0.666666666666667</v>
      </c>
      <c r="H3" s="127" t="n">
        <v>0.300980392156863</v>
      </c>
      <c r="I3" s="125" t="n">
        <v>0.8</v>
      </c>
      <c r="J3" s="127" t="n">
        <v>0.666666666666667</v>
      </c>
      <c r="K3" s="127" t="n">
        <v>0.28</v>
      </c>
      <c r="L3" s="130" t="n">
        <f aca="false">SUM(D3:K3)</f>
        <v>4.58059577677225</v>
      </c>
      <c r="M3" s="150" t="s">
        <v>103</v>
      </c>
      <c r="O3" s="134" t="n">
        <v>9</v>
      </c>
    </row>
    <row r="4" s="68" customFormat="true" ht="15.75" hidden="false" customHeight="true" outlineLevel="0" collapsed="false">
      <c r="A4" s="79" t="s">
        <v>282</v>
      </c>
      <c r="B4" s="73" t="n">
        <v>171</v>
      </c>
      <c r="C4" s="152" t="n">
        <v>9</v>
      </c>
      <c r="D4" s="127" t="n">
        <v>0.461538461538462</v>
      </c>
      <c r="E4" s="125" t="n">
        <v>0.96</v>
      </c>
      <c r="F4" s="127" t="n">
        <v>0.708333333333333</v>
      </c>
      <c r="G4" s="127" t="n">
        <v>0.722222222222222</v>
      </c>
      <c r="H4" s="127" t="n">
        <v>0.656862745098039</v>
      </c>
      <c r="I4" s="125" t="n">
        <v>0.9</v>
      </c>
      <c r="J4" s="134" t="n">
        <v>0</v>
      </c>
      <c r="K4" s="134" t="n">
        <v>0</v>
      </c>
      <c r="L4" s="130" t="n">
        <f aca="false">SUM(D4:K4)</f>
        <v>4.40895676219206</v>
      </c>
      <c r="M4" s="150" t="s">
        <v>103</v>
      </c>
      <c r="N4" s="10"/>
      <c r="O4" s="134" t="n">
        <v>3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customFormat="false" ht="15.75" hidden="false" customHeight="true" outlineLevel="0" collapsed="false">
      <c r="A5" s="79" t="s">
        <v>255</v>
      </c>
      <c r="B5" s="73" t="n">
        <v>171</v>
      </c>
      <c r="C5" s="152" t="n">
        <v>11</v>
      </c>
      <c r="D5" s="127" t="n">
        <v>0.461538461538462</v>
      </c>
      <c r="E5" s="127" t="n">
        <v>0.39</v>
      </c>
      <c r="F5" s="127" t="n">
        <v>0.666666666666667</v>
      </c>
      <c r="G5" s="127" t="n">
        <v>0.444444444444444</v>
      </c>
      <c r="H5" s="127" t="n">
        <v>0.294117647058824</v>
      </c>
      <c r="I5" s="127" t="n">
        <v>0.626666666666667</v>
      </c>
      <c r="J5" s="128" t="n">
        <v>0.566666666666667</v>
      </c>
      <c r="K5" s="127" t="n">
        <v>0.425</v>
      </c>
      <c r="L5" s="130" t="n">
        <f aca="false">SUM(D5:K5)</f>
        <v>3.87510055304173</v>
      </c>
      <c r="M5" s="150" t="s">
        <v>103</v>
      </c>
      <c r="O5" s="134" t="n">
        <v>5</v>
      </c>
    </row>
    <row r="6" customFormat="false" ht="15.75" hidden="false" customHeight="true" outlineLevel="0" collapsed="false">
      <c r="A6" s="79" t="s">
        <v>256</v>
      </c>
      <c r="B6" s="73" t="n">
        <v>171</v>
      </c>
      <c r="C6" s="152" t="n">
        <v>11</v>
      </c>
      <c r="D6" s="134"/>
      <c r="E6" s="127"/>
      <c r="F6" s="127" t="n">
        <v>0.666666666666667</v>
      </c>
      <c r="G6" s="127" t="n">
        <v>0.277777777777778</v>
      </c>
      <c r="H6" s="127" t="n">
        <v>0.294117647058824</v>
      </c>
      <c r="I6" s="125" t="n">
        <v>0.78</v>
      </c>
      <c r="J6" s="128" t="n">
        <v>0.416666666666667</v>
      </c>
      <c r="K6" s="127" t="n">
        <v>0.525</v>
      </c>
      <c r="L6" s="130" t="n">
        <f aca="false">SUM(D6:K6)</f>
        <v>2.96022875816993</v>
      </c>
      <c r="M6" s="150" t="s">
        <v>103</v>
      </c>
    </row>
    <row r="7" s="68" customFormat="true" ht="15.75" hidden="false" customHeight="true" outlineLevel="0" collapsed="false">
      <c r="A7" s="79" t="s">
        <v>285</v>
      </c>
      <c r="B7" s="73" t="n">
        <v>171</v>
      </c>
      <c r="C7" s="152" t="n">
        <v>11</v>
      </c>
      <c r="D7" s="134" t="n">
        <v>0</v>
      </c>
      <c r="E7" s="127" t="n">
        <v>0.04</v>
      </c>
      <c r="F7" s="125" t="n">
        <v>0.791666666666667</v>
      </c>
      <c r="G7" s="127" t="n">
        <v>0.166666666666667</v>
      </c>
      <c r="H7" s="127" t="n">
        <v>0.294117647058824</v>
      </c>
      <c r="I7" s="127" t="n">
        <v>0.733333333333333</v>
      </c>
      <c r="J7" s="128" t="n">
        <v>0.143333333333333</v>
      </c>
      <c r="K7" s="127" t="n">
        <v>0.25</v>
      </c>
      <c r="L7" s="130" t="n">
        <f aca="false">SUM(D7:K7)</f>
        <v>2.41911764705882</v>
      </c>
      <c r="M7" s="150" t="s">
        <v>103</v>
      </c>
      <c r="N7" s="10"/>
      <c r="O7" s="134" t="n">
        <v>13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customFormat="false" ht="15.75" hidden="false" customHeight="true" outlineLevel="0" collapsed="false">
      <c r="A8" s="76" t="s">
        <v>306</v>
      </c>
      <c r="B8" s="73" t="n">
        <v>91</v>
      </c>
      <c r="C8" s="75" t="n">
        <v>11</v>
      </c>
      <c r="D8" s="134" t="n">
        <v>0</v>
      </c>
      <c r="E8" s="127" t="n">
        <v>0.4</v>
      </c>
      <c r="F8" s="125" t="n">
        <v>0.833333333333333</v>
      </c>
      <c r="G8" s="127" t="n">
        <v>0.0833333333333333</v>
      </c>
      <c r="H8" s="127" t="n">
        <v>0.294117647058824</v>
      </c>
      <c r="I8" s="127" t="n">
        <v>0.323333333333333</v>
      </c>
      <c r="J8" s="128" t="n">
        <v>0.25</v>
      </c>
      <c r="K8" s="127" t="n">
        <v>0.15</v>
      </c>
      <c r="L8" s="130" t="n">
        <f aca="false">SUM(D8:K8)</f>
        <v>2.33411764705882</v>
      </c>
      <c r="M8" s="153" t="s">
        <v>159</v>
      </c>
      <c r="N8" s="151" t="s">
        <v>307</v>
      </c>
      <c r="O8" s="134" t="n">
        <v>2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="68" customFormat="true" ht="15.75" hidden="false" customHeight="true" outlineLevel="0" collapsed="false">
      <c r="A9" s="84" t="s">
        <v>289</v>
      </c>
      <c r="B9" s="73" t="n">
        <v>208</v>
      </c>
      <c r="C9" s="75" t="n">
        <v>10</v>
      </c>
      <c r="D9" s="134" t="n">
        <v>0</v>
      </c>
      <c r="E9" s="127" t="n">
        <v>0.255</v>
      </c>
      <c r="F9" s="127" t="n">
        <v>0.541666666666667</v>
      </c>
      <c r="G9" s="127" t="n">
        <v>0.527777777777778</v>
      </c>
      <c r="H9" s="127" t="n">
        <v>0.147058823529412</v>
      </c>
      <c r="I9" s="127" t="n">
        <v>0.35</v>
      </c>
      <c r="J9" s="127" t="n">
        <v>0.46</v>
      </c>
      <c r="K9" s="127" t="n">
        <v>0.02</v>
      </c>
      <c r="L9" s="130" t="n">
        <f aca="false">SUM(D9:K9)</f>
        <v>2.30150326797386</v>
      </c>
      <c r="M9" s="150" t="s">
        <v>103</v>
      </c>
      <c r="N9" s="151" t="s">
        <v>308</v>
      </c>
      <c r="O9" s="134" t="n">
        <v>16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customFormat="false" ht="15.75" hidden="false" customHeight="true" outlineLevel="0" collapsed="false">
      <c r="A10" s="79" t="s">
        <v>257</v>
      </c>
      <c r="B10" s="73" t="n">
        <v>171</v>
      </c>
      <c r="C10" s="152" t="n">
        <v>11</v>
      </c>
      <c r="D10" s="127" t="n">
        <v>0.230769230769231</v>
      </c>
      <c r="E10" s="127" t="n">
        <v>0.13</v>
      </c>
      <c r="F10" s="134" t="n">
        <v>0</v>
      </c>
      <c r="G10" s="134" t="n">
        <v>0</v>
      </c>
      <c r="H10" s="127" t="n">
        <v>0.147058823529412</v>
      </c>
      <c r="I10" s="127" t="n">
        <v>0.0833333333333333</v>
      </c>
      <c r="J10" s="128" t="n">
        <v>0.373333333333333</v>
      </c>
      <c r="K10" s="127" t="n">
        <v>0.48</v>
      </c>
      <c r="L10" s="130" t="n">
        <f aca="false">SUM(D10:K10)</f>
        <v>1.44449472096531</v>
      </c>
      <c r="M10" s="153" t="s">
        <v>159</v>
      </c>
      <c r="O10" s="134" t="n">
        <v>14</v>
      </c>
    </row>
    <row r="11" customFormat="false" ht="15.75" hidden="false" customHeight="true" outlineLevel="0" collapsed="false">
      <c r="A11" s="79" t="s">
        <v>309</v>
      </c>
      <c r="B11" s="73" t="n">
        <v>171</v>
      </c>
      <c r="C11" s="152" t="n">
        <v>11</v>
      </c>
      <c r="D11" s="127" t="n">
        <v>0.153846153846154</v>
      </c>
      <c r="E11" s="127" t="n">
        <v>0.15</v>
      </c>
      <c r="F11" s="127" t="n">
        <v>0.333333333333333</v>
      </c>
      <c r="G11" s="127" t="n">
        <v>0.0277777777777778</v>
      </c>
      <c r="H11" s="134" t="n">
        <v>0</v>
      </c>
      <c r="I11" s="127" t="n">
        <v>0.0566666666666667</v>
      </c>
      <c r="J11" s="128" t="n">
        <v>0.25</v>
      </c>
      <c r="K11" s="127" t="n">
        <v>0.165</v>
      </c>
      <c r="L11" s="130" t="n">
        <f aca="false">SUM(D11:K11)</f>
        <v>1.13662393162393</v>
      </c>
      <c r="M11" s="132"/>
      <c r="O11" s="134" t="n">
        <v>17</v>
      </c>
    </row>
    <row r="12" s="68" customFormat="true" ht="15.75" hidden="false" customHeight="true" outlineLevel="0" collapsed="false">
      <c r="A12" s="79" t="s">
        <v>310</v>
      </c>
      <c r="B12" s="73" t="n">
        <v>79</v>
      </c>
      <c r="C12" s="152" t="n">
        <v>10</v>
      </c>
      <c r="D12" s="134" t="n">
        <v>0</v>
      </c>
      <c r="E12" s="127" t="n">
        <v>0.275</v>
      </c>
      <c r="F12" s="127" t="n">
        <v>0.333333333333333</v>
      </c>
      <c r="G12" s="127" t="n">
        <v>0.0555555555555556</v>
      </c>
      <c r="H12" s="134" t="n">
        <v>0</v>
      </c>
      <c r="I12" s="127" t="n">
        <v>0.24</v>
      </c>
      <c r="J12" s="127" t="n">
        <v>0.0433333333333333</v>
      </c>
      <c r="K12" s="127" t="n">
        <v>0.02</v>
      </c>
      <c r="L12" s="130" t="n">
        <f aca="false">SUM(D12:K12)</f>
        <v>0.967222222222222</v>
      </c>
      <c r="M12" s="150" t="s">
        <v>103</v>
      </c>
      <c r="N12" s="151" t="s">
        <v>311</v>
      </c>
      <c r="O12" s="134" t="n">
        <v>12</v>
      </c>
    </row>
    <row r="13" customFormat="false" ht="15.75" hidden="false" customHeight="true" outlineLevel="0" collapsed="false">
      <c r="A13" s="79" t="s">
        <v>312</v>
      </c>
      <c r="B13" s="73" t="n">
        <v>171</v>
      </c>
      <c r="C13" s="152" t="n">
        <v>11</v>
      </c>
      <c r="D13" s="134" t="n">
        <v>0</v>
      </c>
      <c r="E13" s="127" t="n">
        <v>0.035</v>
      </c>
      <c r="F13" s="127" t="n">
        <v>0.416666666666667</v>
      </c>
      <c r="G13" s="134" t="n">
        <v>0</v>
      </c>
      <c r="H13" s="134" t="n">
        <v>0</v>
      </c>
      <c r="I13" s="127" t="n">
        <v>0.153333333333333</v>
      </c>
      <c r="J13" s="134" t="n">
        <v>0</v>
      </c>
      <c r="K13" s="127" t="n">
        <v>0.2</v>
      </c>
      <c r="L13" s="130" t="n">
        <f aca="false">SUM(D13:K13)</f>
        <v>0.805</v>
      </c>
      <c r="M13" s="132"/>
      <c r="O13" s="134" t="n">
        <v>10</v>
      </c>
    </row>
    <row r="14" customFormat="false" ht="15.75" hidden="false" customHeight="true" outlineLevel="0" collapsed="false">
      <c r="A14" s="84" t="s">
        <v>313</v>
      </c>
      <c r="B14" s="73" t="n">
        <v>171</v>
      </c>
      <c r="C14" s="75" t="n">
        <v>11</v>
      </c>
      <c r="D14" s="134" t="n">
        <v>0</v>
      </c>
      <c r="E14" s="134" t="n">
        <v>0</v>
      </c>
      <c r="F14" s="127" t="n">
        <v>0.333333333333333</v>
      </c>
      <c r="G14" s="134" t="n">
        <v>0</v>
      </c>
      <c r="H14" s="134" t="n">
        <v>0</v>
      </c>
      <c r="I14" s="127" t="n">
        <v>0.01</v>
      </c>
      <c r="J14" s="127" t="n">
        <v>0.336666666666667</v>
      </c>
      <c r="K14" s="127" t="n">
        <v>0.02</v>
      </c>
      <c r="L14" s="130" t="n">
        <f aca="false">SUM(D14:K14)</f>
        <v>0.7</v>
      </c>
      <c r="M14" s="132"/>
      <c r="O14" s="134" t="n">
        <v>18</v>
      </c>
    </row>
    <row r="15" s="82" customFormat="true" ht="15.75" hidden="false" customHeight="true" outlineLevel="0" collapsed="false">
      <c r="A15" s="84" t="s">
        <v>314</v>
      </c>
      <c r="B15" s="73" t="n">
        <v>171</v>
      </c>
      <c r="C15" s="75" t="n">
        <v>9</v>
      </c>
      <c r="D15" s="134" t="n">
        <v>0</v>
      </c>
      <c r="E15" s="134" t="n">
        <v>0</v>
      </c>
      <c r="F15" s="127" t="n">
        <v>0.541666666666667</v>
      </c>
      <c r="G15" s="127" t="n">
        <v>0.0277777777777778</v>
      </c>
      <c r="H15" s="134" t="n">
        <v>0</v>
      </c>
      <c r="I15" s="134" t="n">
        <v>0</v>
      </c>
      <c r="J15" s="128" t="n">
        <v>0.00666666666666667</v>
      </c>
      <c r="K15" s="134" t="n">
        <v>0</v>
      </c>
      <c r="L15" s="130" t="n">
        <f aca="false">SUM(D15:K15)</f>
        <v>0.576111111111111</v>
      </c>
      <c r="M15" s="150" t="s">
        <v>103</v>
      </c>
      <c r="N15" s="10"/>
      <c r="O15" s="134" t="n">
        <v>11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customFormat="false" ht="15.75" hidden="false" customHeight="true" outlineLevel="0" collapsed="false">
      <c r="A16" s="84" t="s">
        <v>315</v>
      </c>
      <c r="B16" s="73" t="n">
        <v>171</v>
      </c>
      <c r="C16" s="75" t="n">
        <v>9</v>
      </c>
      <c r="D16" s="127" t="n">
        <v>0.153846153846154</v>
      </c>
      <c r="E16" s="134" t="n">
        <v>0</v>
      </c>
      <c r="F16" s="127" t="n">
        <v>0.208333333333333</v>
      </c>
      <c r="G16" s="134" t="n">
        <v>0</v>
      </c>
      <c r="H16" s="134" t="n">
        <v>0</v>
      </c>
      <c r="I16" s="127" t="n">
        <v>0.116666666666667</v>
      </c>
      <c r="J16" s="127" t="n">
        <v>0.05</v>
      </c>
      <c r="K16" s="134" t="n">
        <v>0</v>
      </c>
      <c r="L16" s="130" t="n">
        <f aca="false">SUM(D16:K16)</f>
        <v>0.528846153846154</v>
      </c>
      <c r="M16" s="72"/>
      <c r="O16" s="134" t="n">
        <v>15</v>
      </c>
    </row>
    <row r="17" customFormat="false" ht="15.75" hidden="false" customHeight="true" outlineLevel="0" collapsed="false">
      <c r="A17" s="154" t="s">
        <v>316</v>
      </c>
      <c r="B17" s="155" t="n">
        <v>132</v>
      </c>
      <c r="C17" s="156" t="n">
        <v>9</v>
      </c>
      <c r="D17" s="134" t="n">
        <v>0</v>
      </c>
      <c r="E17" s="127" t="n">
        <v>0.255</v>
      </c>
      <c r="F17" s="127" t="n">
        <v>0.0416666666666667</v>
      </c>
      <c r="G17" s="134" t="n">
        <v>0</v>
      </c>
      <c r="H17" s="134" t="n">
        <v>0</v>
      </c>
      <c r="I17" s="127" t="n">
        <v>0.166666666666667</v>
      </c>
      <c r="J17" s="127" t="n">
        <v>0.0133333333333333</v>
      </c>
      <c r="K17" s="134" t="n">
        <v>0</v>
      </c>
      <c r="L17" s="130" t="n">
        <f aca="false">SUM(D17:K17)</f>
        <v>0.476666666666667</v>
      </c>
      <c r="M17" s="72"/>
      <c r="N17" s="151" t="s">
        <v>317</v>
      </c>
      <c r="O17" s="134" t="n">
        <v>8</v>
      </c>
    </row>
    <row r="18" customFormat="false" ht="15.75" hidden="false" customHeight="true" outlineLevel="0" collapsed="false">
      <c r="A18" s="79" t="s">
        <v>318</v>
      </c>
      <c r="B18" s="73" t="n">
        <v>208</v>
      </c>
      <c r="C18" s="75" t="n">
        <v>9</v>
      </c>
      <c r="D18" s="134" t="n">
        <v>0</v>
      </c>
      <c r="E18" s="134" t="n">
        <v>0</v>
      </c>
      <c r="F18" s="127" t="n">
        <v>0.125</v>
      </c>
      <c r="G18" s="134" t="n">
        <v>0</v>
      </c>
      <c r="H18" s="134" t="n">
        <v>0</v>
      </c>
      <c r="I18" s="127" t="n">
        <v>0.25</v>
      </c>
      <c r="J18" s="128" t="n">
        <v>0.0666666666666667</v>
      </c>
      <c r="K18" s="134" t="n">
        <v>0</v>
      </c>
      <c r="L18" s="130" t="n">
        <f aca="false">SUM(D18:K18)</f>
        <v>0.441666666666667</v>
      </c>
      <c r="M18" s="72"/>
      <c r="N18" s="151" t="s">
        <v>319</v>
      </c>
      <c r="O18" s="134" t="n">
        <v>4</v>
      </c>
    </row>
    <row r="19" customFormat="false" ht="15.75" hidden="false" customHeight="true" outlineLevel="0" collapsed="false">
      <c r="A19" s="79" t="s">
        <v>291</v>
      </c>
      <c r="B19" s="73" t="n">
        <v>171</v>
      </c>
      <c r="C19" s="152" t="n">
        <v>9</v>
      </c>
      <c r="D19" s="134" t="n">
        <v>0</v>
      </c>
      <c r="E19" s="127" t="n">
        <v>0.325</v>
      </c>
      <c r="F19" s="127" t="n">
        <v>0.0833333333333333</v>
      </c>
      <c r="G19" s="134" t="n">
        <v>0</v>
      </c>
      <c r="H19" s="134" t="n">
        <v>0</v>
      </c>
      <c r="I19" s="134" t="n">
        <v>0</v>
      </c>
      <c r="J19" s="134" t="n">
        <v>0</v>
      </c>
      <c r="K19" s="134" t="n">
        <v>0</v>
      </c>
      <c r="L19" s="130" t="n">
        <f aca="false">SUM(D19:K19)</f>
        <v>0.408333333333333</v>
      </c>
      <c r="M19" s="72"/>
      <c r="O19" s="134" t="n">
        <v>7</v>
      </c>
    </row>
    <row r="20" customFormat="false" ht="15.75" hidden="false" customHeight="true" outlineLevel="0" collapsed="false">
      <c r="A20" s="84" t="s">
        <v>320</v>
      </c>
      <c r="B20" s="73" t="s">
        <v>141</v>
      </c>
      <c r="C20" s="75" t="n">
        <v>11</v>
      </c>
      <c r="D20" s="134" t="n">
        <v>0</v>
      </c>
      <c r="E20" s="127" t="n">
        <v>0.4</v>
      </c>
      <c r="F20" s="134" t="n">
        <v>0</v>
      </c>
      <c r="G20" s="134" t="n">
        <v>0</v>
      </c>
      <c r="H20" s="134" t="n">
        <v>0</v>
      </c>
      <c r="I20" s="134" t="n">
        <v>0</v>
      </c>
      <c r="J20" s="134" t="n">
        <v>0</v>
      </c>
      <c r="K20" s="134" t="n">
        <v>0</v>
      </c>
      <c r="L20" s="130" t="n">
        <f aca="false">SUM(D20:K20)</f>
        <v>0.4</v>
      </c>
      <c r="M20" s="132"/>
      <c r="N20" s="141" t="s">
        <v>321</v>
      </c>
      <c r="O20" s="134" t="n">
        <v>6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</row>
    <row r="21" customFormat="false" ht="15.75" hidden="false" customHeight="true" outlineLevel="0" collapsed="false">
      <c r="A21" s="84" t="s">
        <v>322</v>
      </c>
      <c r="B21" s="73" t="n">
        <v>171</v>
      </c>
      <c r="C21" s="75" t="n">
        <v>9</v>
      </c>
      <c r="D21" s="134" t="n">
        <v>0</v>
      </c>
      <c r="E21" s="134" t="n">
        <v>0</v>
      </c>
      <c r="F21" s="134" t="n">
        <v>0</v>
      </c>
      <c r="G21" s="134" t="n">
        <v>0</v>
      </c>
      <c r="H21" s="134" t="n">
        <v>0</v>
      </c>
      <c r="I21" s="134" t="n">
        <v>0</v>
      </c>
      <c r="J21" s="134" t="n">
        <v>0</v>
      </c>
      <c r="K21" s="134" t="n">
        <v>0</v>
      </c>
      <c r="L21" s="130" t="n">
        <f aca="false">SUM(D21:K21)</f>
        <v>0</v>
      </c>
      <c r="M21" s="72"/>
      <c r="O21" s="134" t="n">
        <v>19</v>
      </c>
    </row>
    <row r="22" customFormat="false" ht="15.75" hidden="false" customHeight="true" outlineLevel="0" collapsed="false">
      <c r="A22" s="84" t="s">
        <v>292</v>
      </c>
      <c r="B22" s="73" t="n">
        <v>171</v>
      </c>
      <c r="C22" s="75" t="n">
        <v>11</v>
      </c>
      <c r="D22" s="134" t="n">
        <v>0</v>
      </c>
      <c r="E22" s="134" t="n">
        <v>0</v>
      </c>
      <c r="F22" s="134" t="n">
        <v>0</v>
      </c>
      <c r="G22" s="134" t="n">
        <v>0</v>
      </c>
      <c r="H22" s="134" t="n">
        <v>0</v>
      </c>
      <c r="I22" s="134" t="n">
        <v>0</v>
      </c>
      <c r="J22" s="134" t="n">
        <v>0</v>
      </c>
      <c r="K22" s="134" t="n">
        <v>0</v>
      </c>
      <c r="L22" s="130" t="n">
        <f aca="false">SUM(D22:K22)</f>
        <v>0</v>
      </c>
      <c r="M22" s="132"/>
      <c r="O22" s="134" t="n">
        <v>1</v>
      </c>
    </row>
    <row r="23" customFormat="false" ht="15.75" hidden="false" customHeight="false" outlineLevel="0" collapsed="false">
      <c r="A23" s="118" t="s">
        <v>323</v>
      </c>
      <c r="M23" s="68"/>
    </row>
    <row r="24" customFormat="false" ht="15.75" hidden="false" customHeight="false" outlineLevel="0" collapsed="false">
      <c r="A24" s="118"/>
      <c r="M24" s="68"/>
    </row>
    <row r="25" customFormat="false" ht="15.75" hidden="false" customHeight="false" outlineLevel="0" collapsed="false">
      <c r="A25" s="118" t="s">
        <v>324</v>
      </c>
      <c r="M25" s="68"/>
    </row>
    <row r="26" customFormat="false" ht="15.75" hidden="false" customHeight="false" outlineLevel="0" collapsed="false">
      <c r="A26" s="118"/>
      <c r="M26" s="68"/>
    </row>
    <row r="27" customFormat="false" ht="15.75" hidden="false" customHeight="false" outlineLevel="0" collapsed="false">
      <c r="A27" s="119" t="s">
        <v>325</v>
      </c>
      <c r="M27" s="68"/>
    </row>
    <row r="28" customFormat="false" ht="15.75" hidden="false" customHeight="false" outlineLevel="0" collapsed="false">
      <c r="G28" s="157" t="s">
        <v>237</v>
      </c>
    </row>
  </sheetData>
  <autoFilter ref="A1:BF23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.75" zeroHeight="false" outlineLevelRow="0" outlineLevelCol="0"/>
  <cols>
    <col collapsed="false" customWidth="true" hidden="false" outlineLevel="0" max="1" min="1" style="0" width="33.42"/>
    <col collapsed="false" customWidth="true" hidden="false" outlineLevel="0" max="2" min="2" style="0" width="3.99"/>
    <col collapsed="false" customWidth="true" hidden="false" outlineLevel="0" max="3" min="3" style="0" width="3.86"/>
    <col collapsed="false" customWidth="true" hidden="false" outlineLevel="0" max="12" min="4" style="118" width="5.7"/>
    <col collapsed="false" customWidth="true" hidden="false" outlineLevel="0" max="13" min="13" style="0" width="8.57"/>
  </cols>
  <sheetData>
    <row r="1" customFormat="false" ht="37.5" hidden="false" customHeight="false" outlineLevel="0" collapsed="false">
      <c r="A1" s="158" t="s">
        <v>119</v>
      </c>
      <c r="B1" s="159" t="s">
        <v>2</v>
      </c>
      <c r="C1" s="160" t="s">
        <v>1</v>
      </c>
      <c r="D1" s="161" t="s">
        <v>326</v>
      </c>
      <c r="E1" s="161" t="s">
        <v>327</v>
      </c>
      <c r="F1" s="161" t="s">
        <v>328</v>
      </c>
      <c r="G1" s="161" t="s">
        <v>329</v>
      </c>
      <c r="H1" s="161" t="s">
        <v>330</v>
      </c>
      <c r="I1" s="161" t="s">
        <v>331</v>
      </c>
      <c r="J1" s="161" t="s">
        <v>332</v>
      </c>
      <c r="K1" s="161" t="s">
        <v>333</v>
      </c>
      <c r="L1" s="161" t="s">
        <v>3</v>
      </c>
      <c r="M1" s="161" t="s">
        <v>4</v>
      </c>
    </row>
    <row r="2" customFormat="false" ht="15.75" hidden="false" customHeight="false" outlineLevel="0" collapsed="false">
      <c r="A2" s="76" t="s">
        <v>282</v>
      </c>
      <c r="B2" s="73" t="n">
        <v>171</v>
      </c>
      <c r="C2" s="152" t="n">
        <v>10</v>
      </c>
      <c r="D2" s="162" t="n">
        <v>0.536585365853659</v>
      </c>
      <c r="E2" s="162" t="n">
        <v>0.4</v>
      </c>
      <c r="F2" s="163" t="n">
        <v>0.833333333333333</v>
      </c>
      <c r="G2" s="164" t="n">
        <v>0</v>
      </c>
      <c r="H2" s="164" t="n">
        <v>0</v>
      </c>
      <c r="I2" s="162" t="n">
        <v>0.586666666666667</v>
      </c>
      <c r="J2" s="163" t="n">
        <v>0.925</v>
      </c>
      <c r="K2" s="162" t="n">
        <v>0.214285714285714</v>
      </c>
      <c r="L2" s="130" t="n">
        <f aca="false">SUM(D2:K2)-MIN(D2:K2)</f>
        <v>3.49587108013937</v>
      </c>
      <c r="M2" s="148" t="s">
        <v>103</v>
      </c>
    </row>
    <row r="3" customFormat="false" ht="15.75" hidden="false" customHeight="false" outlineLevel="0" collapsed="false">
      <c r="A3" s="72" t="s">
        <v>289</v>
      </c>
      <c r="B3" s="73" t="n">
        <v>208</v>
      </c>
      <c r="C3" s="75" t="n">
        <v>11</v>
      </c>
      <c r="D3" s="162" t="n">
        <v>0.51219512195122</v>
      </c>
      <c r="E3" s="162" t="n">
        <v>0.04</v>
      </c>
      <c r="F3" s="163" t="n">
        <v>0.833333333333333</v>
      </c>
      <c r="G3" s="162" t="n">
        <v>0.458823529411765</v>
      </c>
      <c r="H3" s="162" t="n">
        <v>0.426666666666667</v>
      </c>
      <c r="I3" s="162" t="n">
        <v>0.603333333333333</v>
      </c>
      <c r="J3" s="162" t="n">
        <v>0.43</v>
      </c>
      <c r="K3" s="162" t="n">
        <v>0.214285714285714</v>
      </c>
      <c r="L3" s="130" t="n">
        <f aca="false">SUM(D3:K3)-MIN(D3:K3)</f>
        <v>3.47863769898203</v>
      </c>
      <c r="M3" s="148" t="s">
        <v>103</v>
      </c>
    </row>
    <row r="4" customFormat="false" ht="16.5" hidden="false" customHeight="false" outlineLevel="0" collapsed="false">
      <c r="A4" s="165" t="s">
        <v>334</v>
      </c>
      <c r="B4" s="73" t="s">
        <v>146</v>
      </c>
      <c r="C4" s="75" t="n">
        <v>10</v>
      </c>
      <c r="D4" s="162" t="n">
        <v>0.24390243902439</v>
      </c>
      <c r="E4" s="162" t="n">
        <v>0.4</v>
      </c>
      <c r="F4" s="162" t="n">
        <v>0.458333333333333</v>
      </c>
      <c r="G4" s="162" t="n">
        <v>0.314705882352941</v>
      </c>
      <c r="H4" s="162" t="n">
        <v>0.55</v>
      </c>
      <c r="I4" s="163" t="n">
        <v>0.856666666666667</v>
      </c>
      <c r="J4" s="162" t="n">
        <v>0.25</v>
      </c>
      <c r="K4" s="162" t="n">
        <v>0.214285714285714</v>
      </c>
      <c r="L4" s="130" t="n">
        <f aca="false">SUM(D4:K4)-MIN(D4:K4)</f>
        <v>3.07360832137733</v>
      </c>
      <c r="M4" s="148" t="s">
        <v>103</v>
      </c>
    </row>
    <row r="5" customFormat="false" ht="15.75" hidden="false" customHeight="false" outlineLevel="0" collapsed="false">
      <c r="A5" s="72" t="s">
        <v>335</v>
      </c>
      <c r="B5" s="73" t="s">
        <v>137</v>
      </c>
      <c r="C5" s="75" t="n">
        <v>8</v>
      </c>
      <c r="D5" s="162" t="n">
        <v>0.536585365853659</v>
      </c>
      <c r="E5" s="162" t="n">
        <v>0.12</v>
      </c>
      <c r="F5" s="162" t="n">
        <v>0.666666666666667</v>
      </c>
      <c r="G5" s="162" t="n">
        <v>0.147058823529412</v>
      </c>
      <c r="H5" s="162" t="n">
        <v>0.43</v>
      </c>
      <c r="I5" s="164" t="n">
        <v>0</v>
      </c>
      <c r="J5" s="162" t="n">
        <v>0.085</v>
      </c>
      <c r="K5" s="162" t="n">
        <v>0.285714285714286</v>
      </c>
      <c r="L5" s="130" t="n">
        <f aca="false">SUM(D5:K5)-MIN(D5:K5)</f>
        <v>2.27102514176402</v>
      </c>
      <c r="M5" s="148" t="s">
        <v>103</v>
      </c>
    </row>
    <row r="6" customFormat="false" ht="15.75" hidden="false" customHeight="false" outlineLevel="0" collapsed="false">
      <c r="A6" s="76" t="s">
        <v>293</v>
      </c>
      <c r="B6" s="79" t="n">
        <v>178</v>
      </c>
      <c r="C6" s="152" t="n">
        <v>10</v>
      </c>
      <c r="D6" s="162" t="n">
        <v>0.24390243902439</v>
      </c>
      <c r="E6" s="164" t="n">
        <v>0</v>
      </c>
      <c r="F6" s="162" t="n">
        <v>0.5</v>
      </c>
      <c r="G6" s="164" t="n">
        <v>0</v>
      </c>
      <c r="H6" s="162" t="n">
        <v>0.496666666666667</v>
      </c>
      <c r="I6" s="162" t="n">
        <v>0.496666666666667</v>
      </c>
      <c r="J6" s="162" t="n">
        <v>0.16</v>
      </c>
      <c r="K6" s="162" t="n">
        <v>0.178571428571429</v>
      </c>
      <c r="L6" s="130" t="n">
        <f aca="false">SUM(D6:K6)-MIN(D6:K6)</f>
        <v>2.07580720092915</v>
      </c>
      <c r="M6" s="148" t="s">
        <v>103</v>
      </c>
    </row>
    <row r="7" customFormat="false" ht="15.75" hidden="false" customHeight="false" outlineLevel="0" collapsed="false">
      <c r="A7" s="76" t="s">
        <v>336</v>
      </c>
      <c r="B7" s="73" t="n">
        <v>145</v>
      </c>
      <c r="C7" s="152" t="n">
        <v>9</v>
      </c>
      <c r="D7" s="162" t="n">
        <v>0.24390243902439</v>
      </c>
      <c r="E7" s="162" t="n">
        <v>0.02</v>
      </c>
      <c r="F7" s="162" t="n">
        <v>0.125</v>
      </c>
      <c r="G7" s="162" t="n">
        <v>0.294117647058824</v>
      </c>
      <c r="H7" s="162" t="n">
        <v>0.37</v>
      </c>
      <c r="I7" s="162" t="n">
        <v>0.356666666666667</v>
      </c>
      <c r="J7" s="162" t="n">
        <v>0.325</v>
      </c>
      <c r="K7" s="162" t="n">
        <v>0.214285714285714</v>
      </c>
      <c r="L7" s="130" t="n">
        <f aca="false">SUM(D7:K7)-MIN(D7:K7)</f>
        <v>1.92897246703559</v>
      </c>
      <c r="M7" s="148" t="s">
        <v>159</v>
      </c>
    </row>
    <row r="8" customFormat="false" ht="17.25" hidden="false" customHeight="true" outlineLevel="0" collapsed="false">
      <c r="A8" s="76" t="s">
        <v>337</v>
      </c>
      <c r="B8" s="73" t="n">
        <v>171</v>
      </c>
      <c r="C8" s="152" t="n">
        <v>9</v>
      </c>
      <c r="D8" s="162" t="n">
        <v>0.317073170731707</v>
      </c>
      <c r="E8" s="162" t="n">
        <v>0.22</v>
      </c>
      <c r="F8" s="162" t="n">
        <v>0.5</v>
      </c>
      <c r="G8" s="162" t="n">
        <v>0.0294117647058823</v>
      </c>
      <c r="H8" s="162" t="n">
        <v>0.21</v>
      </c>
      <c r="I8" s="162" t="n">
        <v>0.366666666666667</v>
      </c>
      <c r="J8" s="162" t="n">
        <v>0.06</v>
      </c>
      <c r="K8" s="162" t="n">
        <v>0.214285714285714</v>
      </c>
      <c r="L8" s="130" t="n">
        <f aca="false">SUM(D8:K8)-MIN(D8:K8)</f>
        <v>1.88802555168409</v>
      </c>
      <c r="M8" s="148" t="s">
        <v>159</v>
      </c>
    </row>
    <row r="9" customFormat="false" ht="15.75" hidden="false" customHeight="false" outlineLevel="0" collapsed="false">
      <c r="A9" s="76" t="s">
        <v>338</v>
      </c>
      <c r="B9" s="73" t="n">
        <v>38</v>
      </c>
      <c r="C9" s="75" t="n">
        <v>10</v>
      </c>
      <c r="D9" s="162" t="n">
        <v>0.451219512195122</v>
      </c>
      <c r="E9" s="164" t="n">
        <v>0</v>
      </c>
      <c r="F9" s="162" t="n">
        <v>0.541666666666667</v>
      </c>
      <c r="G9" s="162" t="n">
        <v>0.0294117647058823</v>
      </c>
      <c r="H9" s="164" t="n">
        <v>0</v>
      </c>
      <c r="I9" s="162" t="n">
        <v>0.383333333333333</v>
      </c>
      <c r="J9" s="162" t="n">
        <v>0.02</v>
      </c>
      <c r="K9" s="162" t="n">
        <v>0.0714285714285714</v>
      </c>
      <c r="L9" s="130" t="n">
        <f aca="false">SUM(D9:K9)-MIN(D9:K9)</f>
        <v>1.49705984832958</v>
      </c>
      <c r="M9" s="166"/>
    </row>
    <row r="10" customFormat="false" ht="15.75" hidden="false" customHeight="false" outlineLevel="0" collapsed="false">
      <c r="A10" s="154" t="s">
        <v>339</v>
      </c>
      <c r="B10" s="155" t="s">
        <v>6</v>
      </c>
      <c r="C10" s="167" t="n">
        <v>9</v>
      </c>
      <c r="D10" s="162" t="n">
        <v>0.292682926829268</v>
      </c>
      <c r="E10" s="164" t="n">
        <v>0</v>
      </c>
      <c r="F10" s="162" t="n">
        <v>0.458333333333333</v>
      </c>
      <c r="G10" s="162" t="n">
        <v>0.117647058823529</v>
      </c>
      <c r="H10" s="162" t="n">
        <v>0.406666666666667</v>
      </c>
      <c r="I10" s="164" t="n">
        <v>0</v>
      </c>
      <c r="J10" s="162" t="n">
        <v>0.14</v>
      </c>
      <c r="K10" s="164" t="n">
        <v>0</v>
      </c>
      <c r="L10" s="130" t="n">
        <f aca="false">SUM(D10:K10)-MIN(D10:K10)</f>
        <v>1.4153299856528</v>
      </c>
      <c r="M10" s="166"/>
    </row>
    <row r="11" customFormat="false" ht="15.75" hidden="false" customHeight="false" outlineLevel="0" collapsed="false">
      <c r="A11" s="72" t="s">
        <v>340</v>
      </c>
      <c r="B11" s="73" t="n">
        <v>208</v>
      </c>
      <c r="C11" s="75" t="n">
        <v>10</v>
      </c>
      <c r="D11" s="164" t="n">
        <v>0</v>
      </c>
      <c r="E11" s="164" t="n">
        <v>0</v>
      </c>
      <c r="F11" s="162" t="n">
        <v>0.583333333333333</v>
      </c>
      <c r="G11" s="162" t="n">
        <v>0.147058823529412</v>
      </c>
      <c r="H11" s="162" t="n">
        <v>0.0433333333333333</v>
      </c>
      <c r="I11" s="162" t="n">
        <v>0.433333333333333</v>
      </c>
      <c r="J11" s="164" t="n">
        <v>0</v>
      </c>
      <c r="K11" s="162" t="n">
        <v>0.178571428571429</v>
      </c>
      <c r="L11" s="130" t="n">
        <f aca="false">SUM(D11:K11)-MIN(D11:K11)</f>
        <v>1.38563025210084</v>
      </c>
      <c r="M11" s="166"/>
    </row>
    <row r="12" customFormat="false" ht="15.75" hidden="false" customHeight="false" outlineLevel="0" collapsed="false">
      <c r="A12" s="72" t="s">
        <v>341</v>
      </c>
      <c r="B12" s="73" t="n">
        <v>145</v>
      </c>
      <c r="C12" s="75" t="n">
        <v>11</v>
      </c>
      <c r="D12" s="162" t="n">
        <v>0.24390243902439</v>
      </c>
      <c r="E12" s="164" t="n">
        <v>0</v>
      </c>
      <c r="F12" s="164" t="n">
        <v>0</v>
      </c>
      <c r="G12" s="162" t="n">
        <v>0.147058823529412</v>
      </c>
      <c r="H12" s="162" t="n">
        <v>0.0666666666666667</v>
      </c>
      <c r="I12" s="162" t="n">
        <v>0.333333333333333</v>
      </c>
      <c r="J12" s="164" t="n">
        <v>0</v>
      </c>
      <c r="K12" s="162" t="n">
        <v>0.214285714285714</v>
      </c>
      <c r="L12" s="130" t="n">
        <f aca="false">SUM(D12:K12)-MIN(D12:K12)</f>
        <v>1.00524697683952</v>
      </c>
      <c r="M12" s="166"/>
    </row>
    <row r="13" customFormat="false" ht="15.75" hidden="false" customHeight="false" outlineLevel="0" collapsed="false">
      <c r="A13" s="76" t="s">
        <v>342</v>
      </c>
      <c r="B13" s="73" t="n">
        <v>171</v>
      </c>
      <c r="C13" s="152" t="n">
        <v>9</v>
      </c>
      <c r="D13" s="162" t="n">
        <v>0.146341463414634</v>
      </c>
      <c r="E13" s="164" t="n">
        <v>0</v>
      </c>
      <c r="F13" s="162" t="n">
        <v>0.333333333333333</v>
      </c>
      <c r="G13" s="164" t="n">
        <v>0</v>
      </c>
      <c r="H13" s="162" t="n">
        <v>0.243333333333333</v>
      </c>
      <c r="I13" s="164" t="n">
        <v>0</v>
      </c>
      <c r="J13" s="162" t="n">
        <v>0.04</v>
      </c>
      <c r="K13" s="162" t="n">
        <v>0.214285714285714</v>
      </c>
      <c r="L13" s="130" t="n">
        <f aca="false">SUM(D13:K13)-MIN(D13:K13)</f>
        <v>0.977293844367015</v>
      </c>
      <c r="M13" s="166"/>
    </row>
    <row r="14" customFormat="false" ht="15.75" hidden="false" customHeight="false" outlineLevel="0" collapsed="false">
      <c r="A14" s="76" t="s">
        <v>343</v>
      </c>
      <c r="B14" s="73" t="n">
        <v>171</v>
      </c>
      <c r="C14" s="152" t="n">
        <v>10</v>
      </c>
      <c r="D14" s="162" t="n">
        <v>0.121951219512195</v>
      </c>
      <c r="E14" s="162" t="n">
        <v>0.15</v>
      </c>
      <c r="F14" s="162" t="n">
        <v>0.166666666666667</v>
      </c>
      <c r="G14" s="162" t="n">
        <v>0.117647058823529</v>
      </c>
      <c r="H14" s="162" t="n">
        <v>0.06</v>
      </c>
      <c r="I14" s="164" t="n">
        <v>0</v>
      </c>
      <c r="J14" s="164" t="n">
        <v>0</v>
      </c>
      <c r="K14" s="162" t="n">
        <v>0.142857142857143</v>
      </c>
      <c r="L14" s="130" t="n">
        <f aca="false">SUM(D14:K14)-MIN(D14:K14)</f>
        <v>0.759122087859534</v>
      </c>
      <c r="M14" s="166"/>
    </row>
    <row r="15" customFormat="false" ht="15.75" hidden="false" customHeight="false" outlineLevel="0" collapsed="false">
      <c r="A15" s="72" t="s">
        <v>344</v>
      </c>
      <c r="B15" s="73" t="n">
        <v>171</v>
      </c>
      <c r="C15" s="75" t="n">
        <v>9</v>
      </c>
      <c r="D15" s="164" t="n">
        <v>0</v>
      </c>
      <c r="E15" s="164" t="n">
        <v>0</v>
      </c>
      <c r="F15" s="162" t="n">
        <v>0.0416666666666667</v>
      </c>
      <c r="G15" s="164" t="n">
        <v>0</v>
      </c>
      <c r="H15" s="162" t="n">
        <v>0.116666666666667</v>
      </c>
      <c r="I15" s="162" t="n">
        <v>0.0833333333333333</v>
      </c>
      <c r="J15" s="164" t="n">
        <v>0</v>
      </c>
      <c r="K15" s="164" t="n">
        <v>0</v>
      </c>
      <c r="L15" s="130" t="n">
        <f aca="false">SUM(D15:K15)-MIN(D15:K15)</f>
        <v>0.241666666666667</v>
      </c>
      <c r="M15" s="166"/>
    </row>
    <row r="16" customFormat="false" ht="15.75" hidden="false" customHeight="false" outlineLevel="0" collapsed="false">
      <c r="A16" s="72" t="s">
        <v>345</v>
      </c>
      <c r="B16" s="73" t="n">
        <v>171</v>
      </c>
      <c r="C16" s="75" t="n">
        <v>9</v>
      </c>
      <c r="D16" s="164" t="n">
        <v>0</v>
      </c>
      <c r="E16" s="164" t="n">
        <v>0</v>
      </c>
      <c r="F16" s="162" t="n">
        <v>0.0416666666666667</v>
      </c>
      <c r="G16" s="164" t="n">
        <v>0</v>
      </c>
      <c r="H16" s="162" t="n">
        <v>0.08</v>
      </c>
      <c r="I16" s="164" t="n">
        <v>0</v>
      </c>
      <c r="J16" s="164" t="n">
        <v>0</v>
      </c>
      <c r="K16" s="164" t="n">
        <v>0</v>
      </c>
      <c r="L16" s="130" t="n">
        <f aca="false">SUM(D16:K16)-MIN(D16:K16)</f>
        <v>0.121666666666667</v>
      </c>
      <c r="M16" s="166"/>
    </row>
    <row r="17" customFormat="false" ht="15.75" hidden="false" customHeight="false" outlineLevel="0" collapsed="false">
      <c r="A17" s="76" t="s">
        <v>291</v>
      </c>
      <c r="B17" s="73" t="n">
        <v>171</v>
      </c>
      <c r="C17" s="152" t="n">
        <v>10</v>
      </c>
      <c r="D17" s="164" t="n">
        <v>0</v>
      </c>
      <c r="E17" s="164" t="n">
        <v>0</v>
      </c>
      <c r="F17" s="164" t="n">
        <v>0</v>
      </c>
      <c r="G17" s="164" t="n">
        <v>0</v>
      </c>
      <c r="H17" s="164" t="n">
        <v>0</v>
      </c>
      <c r="I17" s="164" t="n">
        <v>0</v>
      </c>
      <c r="J17" s="164" t="n">
        <v>0</v>
      </c>
      <c r="K17" s="164" t="n">
        <v>0</v>
      </c>
      <c r="L17" s="130" t="n">
        <f aca="false">SUM(D17:K17)-MIN(D17:K17)</f>
        <v>0</v>
      </c>
      <c r="M17" s="166"/>
    </row>
    <row r="18" customFormat="false" ht="15.75" hidden="false" customHeight="false" outlineLevel="0" collapsed="false">
      <c r="A18" s="76" t="s">
        <v>346</v>
      </c>
      <c r="B18" s="79" t="s">
        <v>141</v>
      </c>
      <c r="C18" s="152" t="n">
        <v>10</v>
      </c>
      <c r="D18" s="164" t="n">
        <v>0</v>
      </c>
      <c r="E18" s="164" t="n">
        <v>0</v>
      </c>
      <c r="F18" s="164" t="n">
        <v>0</v>
      </c>
      <c r="G18" s="164" t="n">
        <v>0</v>
      </c>
      <c r="H18" s="164" t="n">
        <v>0</v>
      </c>
      <c r="I18" s="164" t="n">
        <v>0</v>
      </c>
      <c r="J18" s="164" t="n">
        <v>0</v>
      </c>
      <c r="K18" s="164" t="n">
        <v>0</v>
      </c>
      <c r="L18" s="130" t="n">
        <f aca="false">SUM(D18:K18)-MIN(D18:K18)</f>
        <v>0</v>
      </c>
      <c r="M18" s="166"/>
    </row>
    <row r="20" customFormat="false" ht="15.75" hidden="false" customHeight="false" outlineLevel="0" collapsed="false">
      <c r="A20" s="118" t="s">
        <v>232</v>
      </c>
      <c r="B20" s="22"/>
      <c r="C20" s="22"/>
      <c r="D20" s="157"/>
      <c r="E20" s="157"/>
      <c r="F20" s="157"/>
      <c r="G20" s="168"/>
      <c r="H20" s="168"/>
      <c r="I20" s="168"/>
      <c r="J20" s="168"/>
      <c r="K20" s="168"/>
      <c r="L20" s="120"/>
      <c r="M20" s="22"/>
    </row>
    <row r="21" customFormat="false" ht="15.75" hidden="false" customHeight="false" outlineLevel="0" collapsed="false">
      <c r="A21" s="118" t="s">
        <v>347</v>
      </c>
      <c r="B21" s="22"/>
      <c r="C21" s="22"/>
      <c r="D21" s="157"/>
      <c r="E21" s="157"/>
      <c r="F21" s="157"/>
      <c r="G21" s="168"/>
      <c r="H21" s="168"/>
      <c r="I21" s="168"/>
      <c r="J21" s="168"/>
      <c r="K21" s="168"/>
      <c r="L21" s="120"/>
      <c r="M21" s="22"/>
    </row>
    <row r="22" customFormat="false" ht="15.75" hidden="false" customHeight="false" outlineLevel="0" collapsed="false">
      <c r="A22" s="118"/>
      <c r="B22" s="22"/>
      <c r="C22" s="22"/>
      <c r="D22" s="157"/>
      <c r="E22" s="157"/>
      <c r="F22" s="157"/>
      <c r="G22" s="168"/>
      <c r="H22" s="168"/>
      <c r="I22" s="168"/>
      <c r="J22" s="168"/>
      <c r="K22" s="168"/>
      <c r="L22" s="120"/>
      <c r="M22" s="22"/>
    </row>
    <row r="23" customFormat="false" ht="15.75" hidden="false" customHeight="false" outlineLevel="0" collapsed="false">
      <c r="A23" s="118" t="s">
        <v>348</v>
      </c>
      <c r="B23" s="22"/>
      <c r="C23" s="22"/>
      <c r="D23" s="157"/>
      <c r="E23" s="157"/>
      <c r="F23" s="157"/>
      <c r="G23" s="168"/>
      <c r="H23" s="168"/>
      <c r="I23" s="168"/>
      <c r="J23" s="168"/>
      <c r="K23" s="168"/>
      <c r="L23" s="120"/>
      <c r="M23" s="22"/>
    </row>
    <row r="24" customFormat="false" ht="15.75" hidden="false" customHeight="false" outlineLevel="0" collapsed="false">
      <c r="A24" s="119" t="s">
        <v>349</v>
      </c>
      <c r="B24" s="22"/>
      <c r="C24" s="22"/>
      <c r="D24" s="157"/>
      <c r="E24" s="157"/>
      <c r="F24" s="157"/>
      <c r="G24" s="168"/>
      <c r="H24" s="168"/>
      <c r="I24" s="168"/>
      <c r="J24" s="168"/>
      <c r="K24" s="168"/>
      <c r="L24" s="120"/>
      <c r="M24" s="120" t="s">
        <v>237</v>
      </c>
    </row>
  </sheetData>
  <autoFilter ref="A1:M24"/>
  <printOptions headings="false" gridLines="false" gridLinesSet="true" horizontalCentered="true" verticalCentered="false"/>
  <pageMargins left="0.118055555555556" right="0.118055555555556" top="0.945138888888889" bottom="0.747916666666667" header="0.31527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 Narrow,Звичайний"&amp;14Результати відбірково-тренувальних зборів команди міста Києва 
до IV етапу Всеукраїнської учнівської олімпіади з інформатики 2011 року</oddHeader>
    <oddFooter/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2" activeCellId="0" sqref="C2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7.14"/>
    <col collapsed="false" customWidth="true" hidden="false" outlineLevel="0" max="3" min="2" style="0" width="4.43"/>
    <col collapsed="false" customWidth="true" hidden="false" outlineLevel="0" max="4" min="4" style="0" width="3.86"/>
    <col collapsed="false" customWidth="true" hidden="false" outlineLevel="0" max="5" min="5" style="0" width="6.42"/>
    <col collapsed="false" customWidth="true" hidden="false" outlineLevel="0" max="6" min="6" style="0" width="6.57"/>
    <col collapsed="false" customWidth="true" hidden="false" outlineLevel="0" max="15" min="7" style="0" width="5.7"/>
    <col collapsed="false" customWidth="true" hidden="false" outlineLevel="0" max="16" min="16" style="169" width="5.7"/>
    <col collapsed="false" customWidth="true" hidden="false" outlineLevel="0" max="18" min="17" style="0" width="5.7"/>
  </cols>
  <sheetData>
    <row r="1" customFormat="false" ht="37.5" hidden="false" customHeight="false" outlineLevel="0" collapsed="false">
      <c r="A1" s="158" t="s">
        <v>119</v>
      </c>
      <c r="B1" s="158" t="s">
        <v>350</v>
      </c>
      <c r="C1" s="159" t="s">
        <v>2</v>
      </c>
      <c r="D1" s="160" t="s">
        <v>1</v>
      </c>
      <c r="E1" s="158" t="s">
        <v>351</v>
      </c>
      <c r="F1" s="158" t="s">
        <v>352</v>
      </c>
      <c r="G1" s="161" t="n">
        <v>1</v>
      </c>
      <c r="H1" s="161" t="n">
        <v>2</v>
      </c>
      <c r="I1" s="161" t="s">
        <v>353</v>
      </c>
      <c r="J1" s="161" t="s">
        <v>354</v>
      </c>
      <c r="K1" s="161" t="s">
        <v>355</v>
      </c>
      <c r="L1" s="161" t="s">
        <v>356</v>
      </c>
      <c r="M1" s="161" t="s">
        <v>357</v>
      </c>
      <c r="N1" s="161" t="s">
        <v>358</v>
      </c>
      <c r="O1" s="161" t="s">
        <v>359</v>
      </c>
      <c r="P1" s="158" t="s">
        <v>360</v>
      </c>
      <c r="Q1" s="170" t="s">
        <v>190</v>
      </c>
      <c r="R1" s="161" t="s">
        <v>3</v>
      </c>
      <c r="S1" s="161" t="s">
        <v>4</v>
      </c>
    </row>
    <row r="2" s="178" customFormat="true" ht="18" hidden="false" customHeight="true" outlineLevel="0" collapsed="false">
      <c r="A2" s="76" t="s">
        <v>336</v>
      </c>
      <c r="B2" s="171" t="n">
        <v>2</v>
      </c>
      <c r="C2" s="73" t="n">
        <v>145</v>
      </c>
      <c r="D2" s="152" t="n">
        <v>10</v>
      </c>
      <c r="E2" s="172" t="n">
        <v>0.29</v>
      </c>
      <c r="F2" s="173" t="n">
        <v>0.753333333333333</v>
      </c>
      <c r="G2" s="172" t="n">
        <v>0.733333333333333</v>
      </c>
      <c r="H2" s="173" t="n">
        <f aca="false">262/300</f>
        <v>0.873333333333333</v>
      </c>
      <c r="I2" s="174" t="n">
        <f aca="false">151/200</f>
        <v>0.755</v>
      </c>
      <c r="J2" s="175" t="n">
        <f aca="false">43/60</f>
        <v>0.716666666666667</v>
      </c>
      <c r="K2" s="174" t="n">
        <v>0.958333333333333</v>
      </c>
      <c r="L2" s="175" t="n">
        <v>0.549019607843137</v>
      </c>
      <c r="M2" s="176" t="n">
        <v>1</v>
      </c>
      <c r="N2" s="176" t="n">
        <v>1</v>
      </c>
      <c r="O2" s="174" t="n">
        <v>0.755</v>
      </c>
      <c r="P2" s="175" t="n">
        <v>0.69</v>
      </c>
      <c r="Q2" s="172" t="n">
        <f aca="false">SUM(E2:P2)-MIN(E2:P2)</f>
        <v>8.78401960784314</v>
      </c>
      <c r="R2" s="172" t="n">
        <f aca="false">Q2*11/10</f>
        <v>9.66242156862745</v>
      </c>
      <c r="S2" s="177" t="s">
        <v>103</v>
      </c>
    </row>
    <row r="3" s="178" customFormat="true" ht="18" hidden="false" customHeight="true" outlineLevel="0" collapsed="false">
      <c r="A3" s="76" t="s">
        <v>282</v>
      </c>
      <c r="B3" s="171" t="n">
        <v>15</v>
      </c>
      <c r="C3" s="73" t="n">
        <v>171</v>
      </c>
      <c r="D3" s="152" t="n">
        <v>11</v>
      </c>
      <c r="E3" s="179" t="n">
        <v>0.26</v>
      </c>
      <c r="F3" s="179" t="n">
        <v>0.71</v>
      </c>
      <c r="G3" s="180" t="n">
        <v>0.766666666666667</v>
      </c>
      <c r="H3" s="173" t="n">
        <f aca="false">262/300</f>
        <v>0.873333333333333</v>
      </c>
      <c r="I3" s="176" t="n">
        <v>1</v>
      </c>
      <c r="J3" s="172" t="n">
        <v>0.583333333333333</v>
      </c>
      <c r="K3" s="174" t="n">
        <v>0.833333333333333</v>
      </c>
      <c r="L3" s="181" t="n">
        <v>0</v>
      </c>
      <c r="M3" s="176" t="n">
        <v>1</v>
      </c>
      <c r="N3" s="172" t="n">
        <v>0.525</v>
      </c>
      <c r="O3" s="174" t="n">
        <v>0.825</v>
      </c>
      <c r="P3" s="181" t="n">
        <v>0</v>
      </c>
      <c r="Q3" s="172" t="n">
        <f aca="false">SUM(E3:P3)-MIN(E3:P3)</f>
        <v>7.37666666666667</v>
      </c>
      <c r="R3" s="172" t="n">
        <f aca="false">Q3</f>
        <v>7.37666666666667</v>
      </c>
      <c r="S3" s="177" t="s">
        <v>103</v>
      </c>
    </row>
    <row r="4" s="178" customFormat="true" ht="18" hidden="false" customHeight="true" outlineLevel="0" collapsed="false">
      <c r="A4" s="182" t="s">
        <v>334</v>
      </c>
      <c r="B4" s="183" t="n">
        <v>16</v>
      </c>
      <c r="C4" s="184" t="s">
        <v>146</v>
      </c>
      <c r="D4" s="75" t="n">
        <v>11</v>
      </c>
      <c r="E4" s="179" t="n">
        <f aca="false">102/300</f>
        <v>0.34</v>
      </c>
      <c r="F4" s="179" t="n">
        <v>0.513333333333333</v>
      </c>
      <c r="G4" s="179" t="n">
        <v>0.496666666666667</v>
      </c>
      <c r="H4" s="179" t="n">
        <v>0.28</v>
      </c>
      <c r="I4" s="173" t="n">
        <f aca="false">153/200</f>
        <v>0.765</v>
      </c>
      <c r="J4" s="173" t="n">
        <v>0.833333333333333</v>
      </c>
      <c r="K4" s="173" t="n">
        <v>0.833333333333333</v>
      </c>
      <c r="L4" s="173" t="n">
        <v>0.764705882352941</v>
      </c>
      <c r="M4" s="172" t="n">
        <v>0.616666666666667</v>
      </c>
      <c r="N4" s="172" t="n">
        <v>0.2</v>
      </c>
      <c r="O4" s="173" t="n">
        <v>0.85</v>
      </c>
      <c r="P4" s="172" t="n">
        <v>0.07</v>
      </c>
      <c r="Q4" s="172" t="n">
        <f aca="false">SUM(E4:P4)-MIN(E4:P4)</f>
        <v>6.49303921568627</v>
      </c>
      <c r="R4" s="172" t="n">
        <f aca="false">Q4</f>
        <v>6.49303921568627</v>
      </c>
      <c r="S4" s="177" t="s">
        <v>103</v>
      </c>
    </row>
    <row r="5" s="178" customFormat="true" ht="18" hidden="false" customHeight="true" outlineLevel="0" collapsed="false">
      <c r="A5" s="76" t="s">
        <v>361</v>
      </c>
      <c r="B5" s="185" t="n">
        <v>10</v>
      </c>
      <c r="C5" s="184" t="n">
        <v>145</v>
      </c>
      <c r="D5" s="152" t="n">
        <v>10</v>
      </c>
      <c r="E5" s="179" t="n">
        <v>0.05</v>
      </c>
      <c r="F5" s="179" t="n">
        <v>0.626666666666667</v>
      </c>
      <c r="G5" s="179" t="n">
        <v>0.383333333333333</v>
      </c>
      <c r="H5" s="179" t="n">
        <v>0.09</v>
      </c>
      <c r="I5" s="175" t="n">
        <f aca="false">126/200</f>
        <v>0.63</v>
      </c>
      <c r="J5" s="175" t="n">
        <v>0.333333333333333</v>
      </c>
      <c r="K5" s="175" t="n">
        <v>0.375</v>
      </c>
      <c r="L5" s="175" t="n">
        <v>0.372549019607843</v>
      </c>
      <c r="M5" s="175" t="n">
        <v>0.666666666666667</v>
      </c>
      <c r="N5" s="175" t="n">
        <v>0.95</v>
      </c>
      <c r="O5" s="174" t="n">
        <v>0.775</v>
      </c>
      <c r="P5" s="175" t="n">
        <v>0.465</v>
      </c>
      <c r="Q5" s="172" t="n">
        <f aca="false">SUM(E5:P5)-MIN(E5:P5)</f>
        <v>5.66754901960784</v>
      </c>
      <c r="R5" s="172" t="n">
        <f aca="false">Q5*11/10</f>
        <v>6.23430392156863</v>
      </c>
      <c r="S5" s="177" t="s">
        <v>103</v>
      </c>
    </row>
    <row r="6" s="178" customFormat="true" ht="18" hidden="false" customHeight="true" outlineLevel="0" collapsed="false">
      <c r="A6" s="72" t="s">
        <v>340</v>
      </c>
      <c r="B6" s="186" t="n">
        <v>7</v>
      </c>
      <c r="C6" s="184" t="n">
        <v>208</v>
      </c>
      <c r="D6" s="75" t="n">
        <v>11</v>
      </c>
      <c r="E6" s="172" t="n">
        <v>0.0166666666666667</v>
      </c>
      <c r="F6" s="173" t="n">
        <v>0.78</v>
      </c>
      <c r="G6" s="172" t="n">
        <v>0.443333333333333</v>
      </c>
      <c r="H6" s="172" t="n">
        <v>0.136666666666667</v>
      </c>
      <c r="I6" s="172" t="n">
        <f aca="false">100/200</f>
        <v>0.5</v>
      </c>
      <c r="J6" s="172" t="n">
        <f aca="false">6/60</f>
        <v>0.1</v>
      </c>
      <c r="K6" s="175" t="n">
        <v>0.666666666666667</v>
      </c>
      <c r="L6" s="172" t="n">
        <v>0.549019607843137</v>
      </c>
      <c r="M6" s="174" t="n">
        <v>0.9</v>
      </c>
      <c r="N6" s="175" t="n">
        <f aca="false">85/200</f>
        <v>0.425</v>
      </c>
      <c r="O6" s="172" t="n">
        <v>0.35</v>
      </c>
      <c r="P6" s="172" t="n">
        <v>0.525</v>
      </c>
      <c r="Q6" s="172" t="n">
        <f aca="false">SUM(E6:P6)-MIN(E6:P6)</f>
        <v>5.3756862745098</v>
      </c>
      <c r="R6" s="172" t="n">
        <f aca="false">Q6</f>
        <v>5.3756862745098</v>
      </c>
      <c r="S6" s="177" t="s">
        <v>103</v>
      </c>
    </row>
    <row r="7" s="178" customFormat="true" ht="18" hidden="false" customHeight="true" outlineLevel="0" collapsed="false">
      <c r="A7" s="76" t="s">
        <v>293</v>
      </c>
      <c r="B7" s="187" t="n">
        <v>8</v>
      </c>
      <c r="C7" s="188" t="n">
        <v>178</v>
      </c>
      <c r="D7" s="152" t="n">
        <v>11</v>
      </c>
      <c r="E7" s="172" t="n">
        <v>0.24</v>
      </c>
      <c r="F7" s="173" t="n">
        <v>0.756666666666667</v>
      </c>
      <c r="G7" s="172" t="n">
        <v>0.44</v>
      </c>
      <c r="H7" s="172" t="n">
        <v>0.716666666666667</v>
      </c>
      <c r="I7" s="175" t="n">
        <f aca="false">62/200</f>
        <v>0.31</v>
      </c>
      <c r="J7" s="175" t="n">
        <f aca="false">6/60</f>
        <v>0.1</v>
      </c>
      <c r="K7" s="172" t="n">
        <v>0.666666666666667</v>
      </c>
      <c r="L7" s="175" t="n">
        <v>0.470588235294118</v>
      </c>
      <c r="M7" s="175" t="n">
        <v>0.133333333333333</v>
      </c>
      <c r="N7" s="175" t="n">
        <v>0.475</v>
      </c>
      <c r="O7" s="172" t="n">
        <v>0.5</v>
      </c>
      <c r="P7" s="175" t="n">
        <v>0.19</v>
      </c>
      <c r="Q7" s="172" t="n">
        <f aca="false">SUM(E7:P7)-MIN(E7:P7)</f>
        <v>4.89892156862745</v>
      </c>
      <c r="R7" s="172" t="n">
        <f aca="false">Q7</f>
        <v>4.89892156862745</v>
      </c>
      <c r="S7" s="189" t="s">
        <v>159</v>
      </c>
    </row>
    <row r="8" s="178" customFormat="true" ht="18" hidden="false" customHeight="true" outlineLevel="0" collapsed="false">
      <c r="A8" s="72" t="s">
        <v>362</v>
      </c>
      <c r="B8" s="186" t="n">
        <v>3</v>
      </c>
      <c r="C8" s="184" t="n">
        <v>171</v>
      </c>
      <c r="D8" s="75" t="n">
        <v>10</v>
      </c>
      <c r="E8" s="179" t="n">
        <v>0.17</v>
      </c>
      <c r="F8" s="179" t="n">
        <v>0.583333333333333</v>
      </c>
      <c r="G8" s="179" t="n">
        <v>0.446666666666667</v>
      </c>
      <c r="H8" s="179" t="n">
        <v>0.556666666666667</v>
      </c>
      <c r="I8" s="172" t="n">
        <f aca="false">100/200</f>
        <v>0.5</v>
      </c>
      <c r="J8" s="172" t="n">
        <v>0.166666666666667</v>
      </c>
      <c r="K8" s="175" t="n">
        <v>0.416666666666667</v>
      </c>
      <c r="L8" s="172" t="n">
        <v>0.549019607843137</v>
      </c>
      <c r="M8" s="175" t="n">
        <v>0.316666666666667</v>
      </c>
      <c r="N8" s="175" t="n">
        <v>0.25</v>
      </c>
      <c r="O8" s="175" t="n">
        <v>0.2</v>
      </c>
      <c r="P8" s="175" t="n">
        <v>0</v>
      </c>
      <c r="Q8" s="172" t="n">
        <f aca="false">SUM(E8:P8)-MIN(E8:P8)</f>
        <v>4.1556862745098</v>
      </c>
      <c r="R8" s="172" t="n">
        <f aca="false">Q8*11/10</f>
        <v>4.57125490196078</v>
      </c>
      <c r="S8" s="177"/>
    </row>
    <row r="9" s="178" customFormat="true" ht="18" hidden="false" customHeight="true" outlineLevel="0" collapsed="false">
      <c r="A9" s="72" t="s">
        <v>335</v>
      </c>
      <c r="B9" s="186" t="n">
        <v>13</v>
      </c>
      <c r="C9" s="184" t="s">
        <v>137</v>
      </c>
      <c r="D9" s="75" t="n">
        <v>9</v>
      </c>
      <c r="E9" s="179" t="n">
        <v>0</v>
      </c>
      <c r="F9" s="179" t="n">
        <v>0.643333333333333</v>
      </c>
      <c r="G9" s="179" t="n">
        <v>0.34</v>
      </c>
      <c r="H9" s="180" t="n">
        <v>0.873333333333333</v>
      </c>
      <c r="I9" s="175" t="n">
        <f aca="false">5/200</f>
        <v>0.025</v>
      </c>
      <c r="J9" s="175" t="n">
        <f aca="false">6/60</f>
        <v>0.1</v>
      </c>
      <c r="K9" s="174" t="n">
        <v>0.75</v>
      </c>
      <c r="L9" s="172" t="n">
        <v>0.137254901960784</v>
      </c>
      <c r="M9" s="172" t="n">
        <v>0.283333333333333</v>
      </c>
      <c r="N9" s="175" t="n">
        <v>0.5</v>
      </c>
      <c r="O9" s="181" t="n">
        <v>0</v>
      </c>
      <c r="P9" s="181" t="n">
        <v>0</v>
      </c>
      <c r="Q9" s="172" t="n">
        <f aca="false">SUM(E9:P9)-MIN(E9:P9)</f>
        <v>3.65225490196078</v>
      </c>
      <c r="R9" s="172" t="n">
        <f aca="false">Q9*6/5</f>
        <v>4.38270588235294</v>
      </c>
      <c r="S9" s="177"/>
    </row>
    <row r="10" s="178" customFormat="true" ht="18" hidden="false" customHeight="true" outlineLevel="0" collapsed="false">
      <c r="A10" s="72" t="s">
        <v>345</v>
      </c>
      <c r="B10" s="186" t="n">
        <v>9</v>
      </c>
      <c r="C10" s="184" t="n">
        <v>171</v>
      </c>
      <c r="D10" s="75" t="n">
        <v>10</v>
      </c>
      <c r="E10" s="172" t="n">
        <v>0.0833333333333333</v>
      </c>
      <c r="F10" s="172" t="n">
        <v>0.52</v>
      </c>
      <c r="G10" s="172" t="n">
        <v>0.47</v>
      </c>
      <c r="H10" s="172" t="n">
        <v>0.53</v>
      </c>
      <c r="I10" s="181" t="n">
        <v>0</v>
      </c>
      <c r="J10" s="181" t="n">
        <v>0</v>
      </c>
      <c r="K10" s="174" t="n">
        <v>0.791666666666667</v>
      </c>
      <c r="L10" s="181" t="n">
        <v>0.235294117647059</v>
      </c>
      <c r="M10" s="172" t="n">
        <v>0.166666666666667</v>
      </c>
      <c r="N10" s="175" t="n">
        <v>0.5</v>
      </c>
      <c r="O10" s="175" t="n">
        <v>0.3</v>
      </c>
      <c r="P10" s="181" t="n">
        <v>0</v>
      </c>
      <c r="Q10" s="172" t="n">
        <f aca="false">SUM(E10:P10)-MIN(E10:P10)</f>
        <v>3.59696078431373</v>
      </c>
      <c r="R10" s="172" t="n">
        <f aca="false">Q10*11/10</f>
        <v>3.9566568627451</v>
      </c>
      <c r="S10" s="190"/>
    </row>
    <row r="11" s="178" customFormat="true" ht="18" hidden="false" customHeight="true" outlineLevel="0" collapsed="false">
      <c r="A11" s="76" t="s">
        <v>337</v>
      </c>
      <c r="B11" s="185" t="n">
        <v>5</v>
      </c>
      <c r="C11" s="184" t="n">
        <v>171</v>
      </c>
      <c r="D11" s="152" t="n">
        <v>10</v>
      </c>
      <c r="E11" s="179" t="n">
        <v>0.05</v>
      </c>
      <c r="F11" s="179" t="n">
        <v>0.683333333333333</v>
      </c>
      <c r="G11" s="179" t="n">
        <v>0.223333333333333</v>
      </c>
      <c r="H11" s="179" t="n">
        <v>0.14</v>
      </c>
      <c r="I11" s="175" t="n">
        <f aca="false">19/200</f>
        <v>0.095</v>
      </c>
      <c r="J11" s="175" t="n">
        <v>0.0666666666666667</v>
      </c>
      <c r="K11" s="174" t="n">
        <v>0.791666666666667</v>
      </c>
      <c r="L11" s="175" t="n">
        <v>0.235294117647059</v>
      </c>
      <c r="M11" s="175" t="n">
        <v>0.466666666666667</v>
      </c>
      <c r="N11" s="175" t="n">
        <v>0.15</v>
      </c>
      <c r="O11" s="175" t="n">
        <v>0.5</v>
      </c>
      <c r="P11" s="175" t="n">
        <v>0.14</v>
      </c>
      <c r="Q11" s="172" t="n">
        <f aca="false">SUM(E11:P11)-MIN(E11:P11)</f>
        <v>3.49196078431373</v>
      </c>
      <c r="R11" s="172" t="n">
        <f aca="false">Q11*11/10</f>
        <v>3.8411568627451</v>
      </c>
      <c r="S11" s="177"/>
    </row>
    <row r="12" s="178" customFormat="true" ht="18" hidden="false" customHeight="true" outlineLevel="0" collapsed="false">
      <c r="A12" s="76" t="s">
        <v>342</v>
      </c>
      <c r="B12" s="185" t="n">
        <v>11</v>
      </c>
      <c r="C12" s="184" t="n">
        <v>171</v>
      </c>
      <c r="D12" s="152" t="n">
        <v>10</v>
      </c>
      <c r="E12" s="191" t="n">
        <v>0.05</v>
      </c>
      <c r="F12" s="191" t="n">
        <v>0.5</v>
      </c>
      <c r="G12" s="191" t="n">
        <v>0.176666666666667</v>
      </c>
      <c r="H12" s="191" t="n">
        <v>0.513333333333333</v>
      </c>
      <c r="I12" s="175" t="n">
        <f aca="false">96/200</f>
        <v>0.48</v>
      </c>
      <c r="J12" s="172" t="n">
        <v>0.333333333333333</v>
      </c>
      <c r="K12" s="175" t="n">
        <v>0.625</v>
      </c>
      <c r="L12" s="175" t="n">
        <v>0.0392156862745098</v>
      </c>
      <c r="M12" s="175" t="n">
        <v>0.266666666666667</v>
      </c>
      <c r="N12" s="172" t="n">
        <v>0.15</v>
      </c>
      <c r="O12" s="181" t="n">
        <v>0</v>
      </c>
      <c r="P12" s="172" t="n">
        <v>0.2</v>
      </c>
      <c r="Q12" s="172" t="n">
        <f aca="false">SUM(E12:P12)-MIN(E12:P12)</f>
        <v>3.33421568627451</v>
      </c>
      <c r="R12" s="172" t="n">
        <f aca="false">Q12*11/10</f>
        <v>3.66763725490196</v>
      </c>
      <c r="S12" s="190"/>
    </row>
    <row r="13" s="178" customFormat="true" ht="18" hidden="false" customHeight="true" outlineLevel="0" collapsed="false">
      <c r="A13" s="192" t="s">
        <v>363</v>
      </c>
      <c r="B13" s="193" t="n">
        <v>12</v>
      </c>
      <c r="C13" s="194" t="s">
        <v>6</v>
      </c>
      <c r="D13" s="171" t="n">
        <v>10</v>
      </c>
      <c r="E13" s="172" t="n">
        <v>0.113333333333333</v>
      </c>
      <c r="F13" s="172" t="n">
        <v>0.413333333333333</v>
      </c>
      <c r="G13" s="172" t="n">
        <v>0.44</v>
      </c>
      <c r="H13" s="173" t="n">
        <v>0.833333333333333</v>
      </c>
      <c r="I13" s="172" t="n">
        <f aca="false">81/200</f>
        <v>0.405</v>
      </c>
      <c r="J13" s="175" t="n">
        <v>0.0666666666666667</v>
      </c>
      <c r="K13" s="175" t="n">
        <v>0.208333333333333</v>
      </c>
      <c r="L13" s="175" t="n">
        <v>0.196078431372549</v>
      </c>
      <c r="M13" s="175" t="n">
        <v>0.0166666666666667</v>
      </c>
      <c r="N13" s="181" t="n">
        <v>0</v>
      </c>
      <c r="O13" s="172" t="n">
        <v>0.06</v>
      </c>
      <c r="P13" s="175" t="n">
        <v>0.25</v>
      </c>
      <c r="Q13" s="172" t="n">
        <f aca="false">SUM(E13:P13)-MIN(E13:P13)</f>
        <v>3.00274509803922</v>
      </c>
      <c r="R13" s="172" t="n">
        <f aca="false">Q13*11/10</f>
        <v>3.30301960784314</v>
      </c>
      <c r="S13" s="190"/>
    </row>
    <row r="14" s="178" customFormat="true" ht="18" hidden="false" customHeight="true" outlineLevel="0" collapsed="false">
      <c r="A14" s="195" t="s">
        <v>364</v>
      </c>
      <c r="B14" s="187" t="n">
        <v>14</v>
      </c>
      <c r="C14" s="188" t="n">
        <v>214</v>
      </c>
      <c r="D14" s="152" t="n">
        <v>11</v>
      </c>
      <c r="E14" s="179" t="n">
        <v>0.25</v>
      </c>
      <c r="F14" s="179" t="n">
        <v>0.453333333333333</v>
      </c>
      <c r="G14" s="179" t="n">
        <v>0.216666666666667</v>
      </c>
      <c r="H14" s="179" t="n">
        <v>0.15</v>
      </c>
      <c r="I14" s="172" t="n">
        <v>0.275</v>
      </c>
      <c r="J14" s="172" t="n">
        <v>0.0333333333333333</v>
      </c>
      <c r="K14" s="172" t="n">
        <v>0.541666666666667</v>
      </c>
      <c r="L14" s="172" t="n">
        <v>0.411764705882353</v>
      </c>
      <c r="M14" s="172" t="n">
        <v>0.25</v>
      </c>
      <c r="N14" s="181" t="n">
        <v>0</v>
      </c>
      <c r="O14" s="172" t="n">
        <v>0.26</v>
      </c>
      <c r="P14" s="172" t="n">
        <v>0.215</v>
      </c>
      <c r="Q14" s="172" t="n">
        <f aca="false">SUM(E14:P14)-MIN(E14:P14)</f>
        <v>3.05676470588235</v>
      </c>
      <c r="R14" s="172" t="n">
        <f aca="false">Q14</f>
        <v>3.05676470588235</v>
      </c>
      <c r="S14" s="190"/>
    </row>
    <row r="15" s="178" customFormat="true" ht="18" hidden="false" customHeight="true" outlineLevel="0" collapsed="false">
      <c r="A15" s="192" t="s">
        <v>365</v>
      </c>
      <c r="B15" s="193" t="n">
        <v>4</v>
      </c>
      <c r="C15" s="194" t="s">
        <v>6</v>
      </c>
      <c r="D15" s="171" t="n">
        <v>9</v>
      </c>
      <c r="E15" s="172" t="n">
        <v>0.05</v>
      </c>
      <c r="F15" s="172" t="n">
        <v>0.386666666666667</v>
      </c>
      <c r="G15" s="172" t="n">
        <v>0.116666666666667</v>
      </c>
      <c r="H15" s="172" t="n">
        <v>0.206666666666667</v>
      </c>
      <c r="I15" s="175" t="n">
        <f aca="false">15/200</f>
        <v>0.075</v>
      </c>
      <c r="J15" s="181" t="n">
        <v>0</v>
      </c>
      <c r="K15" s="175" t="n">
        <v>0.375</v>
      </c>
      <c r="L15" s="175" t="n">
        <v>0.235294117647059</v>
      </c>
      <c r="M15" s="175" t="n">
        <v>0.1</v>
      </c>
      <c r="N15" s="175" t="n">
        <v>0.175</v>
      </c>
      <c r="O15" s="175" t="n">
        <v>0.15</v>
      </c>
      <c r="P15" s="175" t="n">
        <v>0.2</v>
      </c>
      <c r="Q15" s="172" t="n">
        <f aca="false">SUM(E15:P15)-MIN(E15:P15)</f>
        <v>2.07029411764706</v>
      </c>
      <c r="R15" s="172" t="n">
        <f aca="false">Q15*6/5</f>
        <v>2.48435294117647</v>
      </c>
      <c r="S15" s="177" t="s">
        <v>103</v>
      </c>
    </row>
    <row r="16" s="178" customFormat="true" ht="18" hidden="false" customHeight="true" outlineLevel="0" collapsed="false">
      <c r="A16" s="72" t="s">
        <v>366</v>
      </c>
      <c r="B16" s="186" t="n">
        <v>6</v>
      </c>
      <c r="C16" s="184" t="n">
        <v>145</v>
      </c>
      <c r="D16" s="75" t="n">
        <v>11</v>
      </c>
      <c r="E16" s="179" t="n">
        <v>0.173333333333333</v>
      </c>
      <c r="F16" s="179" t="n">
        <v>0.726666666666667</v>
      </c>
      <c r="G16" s="179" t="n">
        <v>0.133333333333333</v>
      </c>
      <c r="H16" s="179" t="n">
        <v>0.02</v>
      </c>
      <c r="I16" s="181" t="n">
        <v>0</v>
      </c>
      <c r="J16" s="181" t="n">
        <v>0</v>
      </c>
      <c r="K16" s="181" t="n">
        <v>0</v>
      </c>
      <c r="L16" s="181" t="n">
        <v>0</v>
      </c>
      <c r="M16" s="181" t="n">
        <v>0</v>
      </c>
      <c r="N16" s="181" t="n">
        <v>0</v>
      </c>
      <c r="O16" s="181" t="n">
        <v>0</v>
      </c>
      <c r="P16" s="181" t="n">
        <v>0</v>
      </c>
      <c r="Q16" s="172" t="n">
        <f aca="false">SUM(E16:P16)-MIN(E16:P16)</f>
        <v>1.05333333333333</v>
      </c>
      <c r="R16" s="172" t="n">
        <f aca="false">Q16</f>
        <v>1.05333333333333</v>
      </c>
      <c r="S16" s="190"/>
    </row>
    <row r="17" s="178" customFormat="true" ht="18" hidden="false" customHeight="true" outlineLevel="0" collapsed="false">
      <c r="A17" s="72" t="s">
        <v>367</v>
      </c>
      <c r="B17" s="196" t="n">
        <v>0</v>
      </c>
      <c r="C17" s="197" t="n">
        <v>208</v>
      </c>
      <c r="D17" s="198" t="n">
        <v>11</v>
      </c>
      <c r="E17" s="172" t="n">
        <v>0.25</v>
      </c>
      <c r="F17" s="172" t="n">
        <v>0.503333333333333</v>
      </c>
      <c r="G17" s="181" t="n">
        <v>0</v>
      </c>
      <c r="H17" s="181" t="n">
        <v>0</v>
      </c>
      <c r="I17" s="181" t="n">
        <v>0</v>
      </c>
      <c r="J17" s="181" t="n">
        <v>0</v>
      </c>
      <c r="K17" s="181" t="n">
        <v>0</v>
      </c>
      <c r="L17" s="181" t="n">
        <v>0</v>
      </c>
      <c r="M17" s="181" t="n">
        <v>0</v>
      </c>
      <c r="N17" s="181" t="n">
        <v>0</v>
      </c>
      <c r="O17" s="181" t="n">
        <v>0</v>
      </c>
      <c r="P17" s="181" t="n">
        <v>0</v>
      </c>
      <c r="Q17" s="172" t="n">
        <f aca="false">SUM(E17:P17)-MIN(E17:P17)</f>
        <v>0.753333333333333</v>
      </c>
      <c r="R17" s="172" t="n">
        <f aca="false">Q17</f>
        <v>0.753333333333333</v>
      </c>
      <c r="S17" s="190"/>
    </row>
    <row r="18" s="178" customFormat="true" ht="18" hidden="false" customHeight="true" outlineLevel="0" collapsed="false">
      <c r="A18" s="72" t="s">
        <v>368</v>
      </c>
      <c r="B18" s="199" t="n">
        <v>1</v>
      </c>
      <c r="C18" s="73" t="n">
        <v>171</v>
      </c>
      <c r="D18" s="75" t="n">
        <v>9</v>
      </c>
      <c r="E18" s="172" t="n">
        <v>0.02</v>
      </c>
      <c r="F18" s="172" t="n">
        <v>0.383333333333333</v>
      </c>
      <c r="G18" s="172" t="n">
        <v>0.19</v>
      </c>
      <c r="H18" s="172" t="n">
        <v>0.03</v>
      </c>
      <c r="I18" s="181" t="n">
        <v>0</v>
      </c>
      <c r="J18" s="181" t="n">
        <v>0</v>
      </c>
      <c r="K18" s="181" t="n">
        <v>0</v>
      </c>
      <c r="L18" s="181" t="n">
        <v>0</v>
      </c>
      <c r="M18" s="181" t="n">
        <v>0</v>
      </c>
      <c r="N18" s="181" t="n">
        <v>0</v>
      </c>
      <c r="O18" s="181" t="n">
        <v>0</v>
      </c>
      <c r="P18" s="181" t="n">
        <v>0</v>
      </c>
      <c r="Q18" s="172" t="n">
        <f aca="false">SUM(E18:P18)-MIN(E18:P18)</f>
        <v>0.623333333333334</v>
      </c>
      <c r="R18" s="172" t="n">
        <f aca="false">Q18*6/5</f>
        <v>0.748</v>
      </c>
      <c r="S18" s="177"/>
    </row>
    <row r="19" customFormat="false" ht="15.75" hidden="false" customHeight="false" outlineLevel="0" collapsed="false">
      <c r="I19" s="118"/>
      <c r="J19" s="118"/>
      <c r="K19" s="118"/>
      <c r="L19" s="118"/>
      <c r="M19" s="118"/>
      <c r="N19" s="118"/>
      <c r="O19" s="118"/>
      <c r="P19" s="200"/>
      <c r="Q19" s="118"/>
      <c r="R19" s="118"/>
    </row>
    <row r="20" customFormat="false" ht="15.75" hidden="false" customHeight="false" outlineLevel="0" collapsed="false">
      <c r="A20" s="118" t="s">
        <v>369</v>
      </c>
      <c r="B20" s="118"/>
      <c r="C20" s="22"/>
      <c r="D20" s="22"/>
      <c r="E20" s="22"/>
      <c r="F20" s="22"/>
      <c r="G20" s="22"/>
      <c r="H20" s="22"/>
      <c r="I20" s="157"/>
      <c r="J20" s="157"/>
      <c r="K20" s="157"/>
      <c r="L20" s="168"/>
      <c r="M20" s="168"/>
      <c r="N20" s="168"/>
      <c r="O20" s="168"/>
      <c r="P20" s="201"/>
      <c r="Q20" s="120"/>
      <c r="R20" s="120"/>
      <c r="S20" s="22"/>
    </row>
    <row r="21" customFormat="false" ht="15.75" hidden="false" customHeight="false" outlineLevel="0" collapsed="false">
      <c r="A21" s="118" t="s">
        <v>370</v>
      </c>
      <c r="B21" s="118"/>
      <c r="C21" s="22"/>
      <c r="D21" s="22"/>
      <c r="E21" s="22"/>
      <c r="F21" s="22"/>
      <c r="G21" s="22"/>
      <c r="H21" s="22"/>
      <c r="I21" s="157"/>
      <c r="J21" s="157"/>
      <c r="K21" s="157"/>
      <c r="L21" s="168"/>
      <c r="M21" s="168"/>
      <c r="N21" s="168"/>
      <c r="O21" s="168"/>
      <c r="P21" s="201"/>
      <c r="Q21" s="120"/>
      <c r="R21" s="120"/>
      <c r="S21" s="22"/>
    </row>
    <row r="22" customFormat="false" ht="15.75" hidden="false" customHeight="false" outlineLevel="0" collapsed="false">
      <c r="A22" s="118"/>
      <c r="B22" s="118"/>
      <c r="C22" s="22"/>
      <c r="D22" s="22"/>
      <c r="E22" s="22"/>
      <c r="F22" s="22"/>
      <c r="G22" s="22"/>
      <c r="H22" s="22"/>
      <c r="I22" s="157"/>
      <c r="J22" s="157"/>
      <c r="K22" s="157"/>
      <c r="L22" s="168"/>
      <c r="M22" s="168"/>
      <c r="N22" s="168"/>
      <c r="O22" s="168"/>
      <c r="P22" s="201"/>
      <c r="Q22" s="120"/>
      <c r="R22" s="120"/>
      <c r="S22" s="22"/>
    </row>
    <row r="23" customFormat="false" ht="15.75" hidden="false" customHeight="false" outlineLevel="0" collapsed="false">
      <c r="A23" s="118" t="s">
        <v>348</v>
      </c>
      <c r="B23" s="118"/>
      <c r="C23" s="22"/>
      <c r="D23" s="22"/>
      <c r="E23" s="22"/>
      <c r="F23" s="22"/>
      <c r="G23" s="22"/>
      <c r="H23" s="22"/>
      <c r="I23" s="157"/>
      <c r="J23" s="157"/>
      <c r="K23" s="157"/>
      <c r="L23" s="168"/>
      <c r="M23" s="168"/>
      <c r="N23" s="168"/>
      <c r="O23" s="168"/>
      <c r="P23" s="201"/>
      <c r="Q23" s="120"/>
      <c r="R23" s="120"/>
      <c r="S23" s="22"/>
    </row>
    <row r="24" customFormat="false" ht="15.75" hidden="false" customHeight="false" outlineLevel="0" collapsed="false">
      <c r="A24" s="119" t="s">
        <v>349</v>
      </c>
      <c r="B24" s="119"/>
      <c r="C24" s="22"/>
      <c r="D24" s="22"/>
      <c r="E24" s="22"/>
      <c r="F24" s="22"/>
      <c r="G24" s="22"/>
      <c r="H24" s="22"/>
      <c r="I24" s="157"/>
      <c r="J24" s="157"/>
      <c r="K24" s="157"/>
      <c r="L24" s="168"/>
      <c r="M24" s="168"/>
      <c r="N24" s="168"/>
      <c r="O24" s="168"/>
      <c r="P24" s="201"/>
      <c r="Q24" s="120"/>
      <c r="R24" s="120"/>
      <c r="S24" s="120" t="s">
        <v>237</v>
      </c>
    </row>
  </sheetData>
  <autoFilter ref="A1:S18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9.15625" defaultRowHeight="15.75" zeroHeight="false" outlineLevelRow="0" outlineLevelCol="0"/>
  <cols>
    <col collapsed="false" customWidth="true" hidden="false" outlineLevel="0" max="1" min="1" style="118" width="33.14"/>
    <col collapsed="false" customWidth="true" hidden="false" outlineLevel="0" max="2" min="2" style="202" width="3.99"/>
    <col collapsed="false" customWidth="true" hidden="false" outlineLevel="0" max="3" min="3" style="202" width="4.57"/>
    <col collapsed="false" customWidth="true" hidden="false" outlineLevel="0" max="4" min="4" style="202" width="9"/>
    <col collapsed="false" customWidth="false" hidden="false" outlineLevel="0" max="17" min="5" style="202" width="9.14"/>
    <col collapsed="false" customWidth="false" hidden="false" outlineLevel="0" max="18" min="18" style="118" width="9.14"/>
    <col collapsed="false" customWidth="true" hidden="true" outlineLevel="0" max="19" min="19" style="118" width="11.52"/>
    <col collapsed="false" customWidth="false" hidden="false" outlineLevel="0" max="1024" min="20" style="118" width="9.14"/>
  </cols>
  <sheetData>
    <row r="1" customFormat="false" ht="37.5" hidden="false" customHeight="false" outlineLevel="0" collapsed="false">
      <c r="A1" s="158" t="s">
        <v>119</v>
      </c>
      <c r="B1" s="203" t="s">
        <v>2</v>
      </c>
      <c r="C1" s="204" t="s">
        <v>1</v>
      </c>
      <c r="D1" s="205" t="s">
        <v>351</v>
      </c>
      <c r="E1" s="205" t="s">
        <v>352</v>
      </c>
      <c r="F1" s="206" t="n">
        <v>1</v>
      </c>
      <c r="G1" s="207" t="n">
        <v>2</v>
      </c>
      <c r="H1" s="161" t="n">
        <v>3</v>
      </c>
      <c r="I1" s="161" t="n">
        <v>4</v>
      </c>
      <c r="J1" s="161" t="n">
        <v>5</v>
      </c>
      <c r="K1" s="161" t="n">
        <v>6</v>
      </c>
      <c r="L1" s="161" t="n">
        <v>7</v>
      </c>
      <c r="M1" s="161" t="n">
        <v>8</v>
      </c>
      <c r="N1" s="161" t="n">
        <v>9</v>
      </c>
      <c r="O1" s="158" t="n">
        <v>10</v>
      </c>
      <c r="P1" s="161" t="s">
        <v>190</v>
      </c>
      <c r="Q1" s="161" t="s">
        <v>3</v>
      </c>
      <c r="R1" s="161" t="s">
        <v>4</v>
      </c>
    </row>
    <row r="2" s="219" customFormat="true" ht="18" hidden="false" customHeight="true" outlineLevel="0" collapsed="false">
      <c r="A2" s="208" t="s">
        <v>336</v>
      </c>
      <c r="B2" s="209" t="n">
        <v>79</v>
      </c>
      <c r="C2" s="210" t="n">
        <v>11</v>
      </c>
      <c r="D2" s="211" t="n">
        <v>0.676666666666667</v>
      </c>
      <c r="E2" s="211" t="n">
        <v>0.85</v>
      </c>
      <c r="F2" s="212" t="n">
        <v>1</v>
      </c>
      <c r="G2" s="212" t="n">
        <v>1</v>
      </c>
      <c r="H2" s="172" t="n">
        <v>0.68</v>
      </c>
      <c r="I2" s="213" t="n">
        <v>1</v>
      </c>
      <c r="J2" s="172" t="n">
        <v>0.709090909090909</v>
      </c>
      <c r="K2" s="211" t="n">
        <v>0.128787878787879</v>
      </c>
      <c r="L2" s="214" t="n">
        <v>1</v>
      </c>
      <c r="M2" s="214" t="n">
        <v>1</v>
      </c>
      <c r="N2" s="211" t="n">
        <v>0.575</v>
      </c>
      <c r="O2" s="215" t="n">
        <v>0.79</v>
      </c>
      <c r="P2" s="172" t="n">
        <f aca="false">SUM(D2:O2)-MIN(D2:O2)</f>
        <v>9.28075757575758</v>
      </c>
      <c r="Q2" s="172" t="n">
        <f aca="false">P2</f>
        <v>9.28075757575758</v>
      </c>
      <c r="R2" s="216" t="s">
        <v>103</v>
      </c>
      <c r="S2" s="217" t="n">
        <f aca="false">SUM(H2:O2)</f>
        <v>5.88287878787879</v>
      </c>
      <c r="T2" s="218"/>
      <c r="U2" s="218"/>
      <c r="V2" s="218"/>
    </row>
    <row r="3" s="219" customFormat="true" ht="18" hidden="false" customHeight="true" outlineLevel="0" collapsed="false">
      <c r="A3" s="208" t="s">
        <v>361</v>
      </c>
      <c r="B3" s="209" t="n">
        <v>145</v>
      </c>
      <c r="C3" s="210" t="n">
        <v>11</v>
      </c>
      <c r="D3" s="220" t="n">
        <v>0.583333333333333</v>
      </c>
      <c r="E3" s="220" t="n">
        <v>0.68</v>
      </c>
      <c r="F3" s="220" t="n">
        <v>0.86</v>
      </c>
      <c r="G3" s="221" t="n">
        <v>0.83</v>
      </c>
      <c r="H3" s="211" t="n">
        <v>0.29</v>
      </c>
      <c r="I3" s="172" t="n">
        <v>0.655172413793103</v>
      </c>
      <c r="J3" s="172" t="n">
        <v>0.218181818181818</v>
      </c>
      <c r="K3" s="211" t="n">
        <v>0.303030303030303</v>
      </c>
      <c r="L3" s="172" t="n">
        <v>0.525</v>
      </c>
      <c r="M3" s="172" t="n">
        <v>0.625</v>
      </c>
      <c r="N3" s="172" t="n">
        <v>0.625</v>
      </c>
      <c r="O3" s="172" t="n">
        <v>0.465</v>
      </c>
      <c r="P3" s="172" t="n">
        <f aca="false">SUM(D3:O3)-MIN(D3:O3)</f>
        <v>6.44153605015674</v>
      </c>
      <c r="Q3" s="172" t="n">
        <f aca="false">P3</f>
        <v>6.44153605015674</v>
      </c>
      <c r="R3" s="216" t="s">
        <v>103</v>
      </c>
      <c r="S3" s="217" t="n">
        <f aca="false">SUM(H3:O3)</f>
        <v>3.70638453500522</v>
      </c>
    </row>
    <row r="4" s="219" customFormat="true" ht="18" hidden="false" customHeight="true" outlineLevel="0" collapsed="false">
      <c r="A4" s="222" t="s">
        <v>362</v>
      </c>
      <c r="B4" s="209" t="n">
        <v>171</v>
      </c>
      <c r="C4" s="223" t="n">
        <v>11</v>
      </c>
      <c r="D4" s="211" t="n">
        <v>0.39</v>
      </c>
      <c r="E4" s="211" t="n">
        <v>0.61</v>
      </c>
      <c r="F4" s="211" t="n">
        <v>0.89</v>
      </c>
      <c r="G4" s="221" t="n">
        <v>0.83</v>
      </c>
      <c r="H4" s="172" t="n">
        <v>0.195</v>
      </c>
      <c r="I4" s="211" t="n">
        <v>0.551724137931034</v>
      </c>
      <c r="J4" s="173" t="n">
        <v>0.890909090909091</v>
      </c>
      <c r="K4" s="172" t="n">
        <v>0.484848484848485</v>
      </c>
      <c r="L4" s="211" t="n">
        <v>0.65</v>
      </c>
      <c r="M4" s="211" t="n">
        <v>0.125</v>
      </c>
      <c r="N4" s="172" t="n">
        <v>0.05</v>
      </c>
      <c r="O4" s="172" t="n">
        <v>0.55</v>
      </c>
      <c r="P4" s="172" t="n">
        <f aca="false">SUM(D4:O4)-MIN(D4:O4)</f>
        <v>6.16748171368861</v>
      </c>
      <c r="Q4" s="172" t="n">
        <f aca="false">P4</f>
        <v>6.16748171368861</v>
      </c>
      <c r="R4" s="216" t="s">
        <v>103</v>
      </c>
      <c r="S4" s="217" t="n">
        <f aca="false">SUM(H4:O4)</f>
        <v>3.49748171368861</v>
      </c>
    </row>
    <row r="5" s="219" customFormat="true" ht="18" hidden="false" customHeight="true" outlineLevel="0" collapsed="false">
      <c r="A5" s="208" t="s">
        <v>365</v>
      </c>
      <c r="B5" s="224" t="s">
        <v>6</v>
      </c>
      <c r="C5" s="210" t="n">
        <v>10</v>
      </c>
      <c r="D5" s="225" t="n">
        <v>0.633333333333333</v>
      </c>
      <c r="E5" s="225" t="n">
        <v>0.576666666666667</v>
      </c>
      <c r="F5" s="226" t="n">
        <v>0</v>
      </c>
      <c r="G5" s="225" t="n">
        <v>0.74</v>
      </c>
      <c r="H5" s="172" t="n">
        <v>0.36</v>
      </c>
      <c r="I5" s="211" t="n">
        <v>0.655172413793103</v>
      </c>
      <c r="J5" s="172" t="n">
        <v>0.272727272727273</v>
      </c>
      <c r="K5" s="172" t="n">
        <v>0.303030303030303</v>
      </c>
      <c r="L5" s="211" t="n">
        <v>0.5</v>
      </c>
      <c r="M5" s="211" t="n">
        <v>0.35</v>
      </c>
      <c r="N5" s="227" t="n">
        <v>0</v>
      </c>
      <c r="O5" s="172" t="n">
        <v>0.44</v>
      </c>
      <c r="P5" s="172" t="n">
        <f aca="false">SUM(D5:O5)-MIN(D5:O5)</f>
        <v>4.83092998955068</v>
      </c>
      <c r="Q5" s="172" t="n">
        <f aca="false">P5*11/10</f>
        <v>5.31402298850575</v>
      </c>
      <c r="R5" s="216" t="s">
        <v>103</v>
      </c>
      <c r="S5" s="217" t="n">
        <f aca="false">SUM(H5:O5)</f>
        <v>2.88092998955068</v>
      </c>
    </row>
    <row r="6" s="219" customFormat="true" ht="18" hidden="false" customHeight="true" outlineLevel="0" collapsed="false">
      <c r="A6" s="228" t="s">
        <v>371</v>
      </c>
      <c r="B6" s="209" t="s">
        <v>137</v>
      </c>
      <c r="C6" s="229" t="n">
        <v>11</v>
      </c>
      <c r="D6" s="211" t="n">
        <v>0.366666666666667</v>
      </c>
      <c r="E6" s="211" t="n">
        <v>0.346666666666667</v>
      </c>
      <c r="F6" s="226" t="n">
        <v>0</v>
      </c>
      <c r="G6" s="221" t="n">
        <v>0.578</v>
      </c>
      <c r="H6" s="227" t="n">
        <v>0</v>
      </c>
      <c r="I6" s="172" t="n">
        <v>0.220689655172414</v>
      </c>
      <c r="J6" s="213" t="n">
        <v>1</v>
      </c>
      <c r="K6" s="172" t="n">
        <v>0.303030303030303</v>
      </c>
      <c r="L6" s="172" t="n">
        <v>0.6</v>
      </c>
      <c r="M6" s="172" t="n">
        <v>0.5</v>
      </c>
      <c r="N6" s="172" t="n">
        <v>0.6</v>
      </c>
      <c r="O6" s="172" t="n">
        <v>0.49</v>
      </c>
      <c r="P6" s="172" t="n">
        <f aca="false">SUM(D6:O6)-MIN(D6:O6)</f>
        <v>5.00505329153605</v>
      </c>
      <c r="Q6" s="172" t="n">
        <f aca="false">P6</f>
        <v>5.00505329153605</v>
      </c>
      <c r="R6" s="216" t="s">
        <v>103</v>
      </c>
      <c r="S6" s="217" t="n">
        <f aca="false">SUM(H6:O6)</f>
        <v>3.71371995820272</v>
      </c>
    </row>
    <row r="7" s="219" customFormat="true" ht="18" hidden="false" customHeight="true" outlineLevel="0" collapsed="false">
      <c r="A7" s="208" t="s">
        <v>342</v>
      </c>
      <c r="B7" s="209" t="n">
        <v>171</v>
      </c>
      <c r="C7" s="210" t="n">
        <v>11</v>
      </c>
      <c r="D7" s="211" t="n">
        <v>0.483333333333333</v>
      </c>
      <c r="E7" s="211" t="n">
        <v>0.366666666666667</v>
      </c>
      <c r="F7" s="211" t="n">
        <v>0.628</v>
      </c>
      <c r="G7" s="221" t="n">
        <v>0.58</v>
      </c>
      <c r="H7" s="226" t="n">
        <v>0</v>
      </c>
      <c r="I7" s="211" t="n">
        <v>0.551724137931034</v>
      </c>
      <c r="J7" s="173" t="n">
        <v>0.945454545454545</v>
      </c>
      <c r="K7" s="172" t="n">
        <v>0.242424242424242</v>
      </c>
      <c r="L7" s="172" t="n">
        <v>0.525</v>
      </c>
      <c r="M7" s="172" t="n">
        <v>0.425</v>
      </c>
      <c r="N7" s="227" t="n">
        <v>0</v>
      </c>
      <c r="O7" s="172" t="n">
        <v>0.2</v>
      </c>
      <c r="P7" s="172" t="n">
        <f aca="false">SUM(D7:O7)-MIN(D7:O7)</f>
        <v>4.94760292580982</v>
      </c>
      <c r="Q7" s="172" t="n">
        <f aca="false">P7</f>
        <v>4.94760292580982</v>
      </c>
      <c r="R7" s="230" t="s">
        <v>159</v>
      </c>
      <c r="S7" s="217" t="n">
        <f aca="false">SUM(H7:O7)</f>
        <v>2.88960292580982</v>
      </c>
    </row>
    <row r="8" s="219" customFormat="true" ht="18" hidden="false" customHeight="true" outlineLevel="0" collapsed="false">
      <c r="A8" s="208" t="s">
        <v>337</v>
      </c>
      <c r="B8" s="209" t="n">
        <v>171</v>
      </c>
      <c r="C8" s="210" t="n">
        <v>11</v>
      </c>
      <c r="D8" s="220" t="n">
        <v>0.52</v>
      </c>
      <c r="E8" s="220" t="n">
        <v>0.546666666666667</v>
      </c>
      <c r="F8" s="220" t="n">
        <v>0.91</v>
      </c>
      <c r="G8" s="231" t="n">
        <v>0.78</v>
      </c>
      <c r="H8" s="172" t="n">
        <v>0.39</v>
      </c>
      <c r="I8" s="172" t="n">
        <v>0.455172413793104</v>
      </c>
      <c r="J8" s="172" t="n">
        <v>0.490909090909091</v>
      </c>
      <c r="K8" s="172" t="n">
        <v>0.0606060606060606</v>
      </c>
      <c r="L8" s="172" t="n">
        <v>0.5</v>
      </c>
      <c r="M8" s="172" t="n">
        <v>0.2</v>
      </c>
      <c r="N8" s="172" t="n">
        <v>0.05</v>
      </c>
      <c r="O8" s="172" t="n">
        <v>0.07</v>
      </c>
      <c r="P8" s="172" t="n">
        <f aca="false">SUM(D8:O8)-MIN(D8:O8)</f>
        <v>4.92335423197492</v>
      </c>
      <c r="Q8" s="172" t="n">
        <f aca="false">P8</f>
        <v>4.92335423197492</v>
      </c>
      <c r="R8" s="232"/>
      <c r="S8" s="217" t="n">
        <f aca="false">SUM(H8:O8)</f>
        <v>2.21668756530826</v>
      </c>
    </row>
    <row r="9" s="219" customFormat="true" ht="18" hidden="false" customHeight="true" outlineLevel="0" collapsed="false">
      <c r="A9" s="228" t="s">
        <v>372</v>
      </c>
      <c r="B9" s="224" t="s">
        <v>6</v>
      </c>
      <c r="C9" s="210" t="n">
        <v>9</v>
      </c>
      <c r="D9" s="211" t="n">
        <v>0.266666666666667</v>
      </c>
      <c r="E9" s="211" t="n">
        <v>0.29</v>
      </c>
      <c r="F9" s="211" t="n">
        <v>0.712</v>
      </c>
      <c r="G9" s="221" t="n">
        <v>0.54</v>
      </c>
      <c r="H9" s="227" t="n">
        <v>0</v>
      </c>
      <c r="I9" s="172" t="n">
        <v>0.179310344827586</v>
      </c>
      <c r="J9" s="172" t="n">
        <v>0.309090909090909</v>
      </c>
      <c r="K9" s="227" t="n">
        <v>0</v>
      </c>
      <c r="L9" s="172" t="n">
        <v>0.2</v>
      </c>
      <c r="M9" s="172" t="n">
        <v>0.225</v>
      </c>
      <c r="N9" s="172" t="n">
        <v>0.025</v>
      </c>
      <c r="O9" s="172" t="n">
        <v>0.325</v>
      </c>
      <c r="P9" s="172" t="n">
        <f aca="false">SUM(D9:O9)-MIN(D9:O9)</f>
        <v>3.07206792058516</v>
      </c>
      <c r="Q9" s="172" t="n">
        <f aca="false">P9*6/5</f>
        <v>3.68648150470219</v>
      </c>
      <c r="R9" s="216" t="s">
        <v>103</v>
      </c>
      <c r="S9" s="217" t="n">
        <f aca="false">SUM(H9:O9)</f>
        <v>1.2634012539185</v>
      </c>
    </row>
    <row r="10" s="219" customFormat="true" ht="18" hidden="false" customHeight="true" outlineLevel="0" collapsed="false">
      <c r="A10" s="208" t="s">
        <v>363</v>
      </c>
      <c r="B10" s="224" t="s">
        <v>6</v>
      </c>
      <c r="C10" s="210" t="n">
        <v>11</v>
      </c>
      <c r="D10" s="220" t="n">
        <v>0.4</v>
      </c>
      <c r="E10" s="220" t="n">
        <v>0.413333333333333</v>
      </c>
      <c r="F10" s="220" t="n">
        <v>0.68</v>
      </c>
      <c r="G10" s="231" t="n">
        <v>0.624</v>
      </c>
      <c r="H10" s="172" t="n">
        <v>0.4</v>
      </c>
      <c r="I10" s="172" t="n">
        <v>0.0620689655172414</v>
      </c>
      <c r="J10" s="172" t="n">
        <v>0.218181818181818</v>
      </c>
      <c r="K10" s="227" t="n">
        <v>0</v>
      </c>
      <c r="L10" s="227" t="n">
        <v>0</v>
      </c>
      <c r="M10" s="172" t="n">
        <v>0.425</v>
      </c>
      <c r="N10" s="227" t="n">
        <v>0</v>
      </c>
      <c r="O10" s="227" t="n">
        <v>0</v>
      </c>
      <c r="P10" s="172" t="n">
        <f aca="false">SUM(D10:O10)-MIN(D10:O10)</f>
        <v>3.22258411703239</v>
      </c>
      <c r="Q10" s="172" t="n">
        <f aca="false">P10</f>
        <v>3.22258411703239</v>
      </c>
      <c r="R10" s="232"/>
      <c r="S10" s="217" t="n">
        <f aca="false">SUM(H10:O10)</f>
        <v>1.10525078369906</v>
      </c>
    </row>
    <row r="11" s="219" customFormat="true" ht="18" hidden="false" customHeight="true" outlineLevel="0" collapsed="false">
      <c r="A11" s="228" t="s">
        <v>373</v>
      </c>
      <c r="B11" s="224" t="n">
        <v>157</v>
      </c>
      <c r="C11" s="229" t="n">
        <v>11</v>
      </c>
      <c r="D11" s="220" t="n">
        <v>0.45</v>
      </c>
      <c r="E11" s="220" t="n">
        <v>0.163333333333333</v>
      </c>
      <c r="F11" s="220" t="n">
        <v>0.6</v>
      </c>
      <c r="G11" s="231" t="n">
        <v>0.57</v>
      </c>
      <c r="H11" s="211" t="n">
        <v>0.365</v>
      </c>
      <c r="I11" s="211" t="n">
        <v>0.0275862068965517</v>
      </c>
      <c r="J11" s="172" t="n">
        <v>0.218181818181818</v>
      </c>
      <c r="K11" s="233" t="n">
        <v>0</v>
      </c>
      <c r="L11" s="226" t="n">
        <v>0</v>
      </c>
      <c r="M11" s="227" t="n">
        <v>0</v>
      </c>
      <c r="N11" s="227" t="n">
        <v>0</v>
      </c>
      <c r="O11" s="227" t="n">
        <v>0</v>
      </c>
      <c r="P11" s="172" t="n">
        <f aca="false">SUM(D11:O11)-MIN(D11:O11)</f>
        <v>2.3941013584117</v>
      </c>
      <c r="Q11" s="172" t="n">
        <f aca="false">P11</f>
        <v>2.3941013584117</v>
      </c>
      <c r="R11" s="232"/>
      <c r="S11" s="217" t="n">
        <f aca="false">SUM(H11:O11)</f>
        <v>0.61076802507837</v>
      </c>
    </row>
    <row r="12" s="219" customFormat="true" ht="18" hidden="false" customHeight="true" outlineLevel="0" collapsed="false">
      <c r="A12" s="228" t="s">
        <v>374</v>
      </c>
      <c r="B12" s="224" t="s">
        <v>6</v>
      </c>
      <c r="C12" s="210" t="n">
        <v>10</v>
      </c>
      <c r="D12" s="220" t="n">
        <v>0.323333333333333</v>
      </c>
      <c r="E12" s="220" t="n">
        <v>0.346666666666667</v>
      </c>
      <c r="F12" s="226" t="n">
        <v>0</v>
      </c>
      <c r="G12" s="231" t="n">
        <v>0.28</v>
      </c>
      <c r="H12" s="172" t="n">
        <v>0.06</v>
      </c>
      <c r="I12" s="172" t="n">
        <v>0.00689655172413793</v>
      </c>
      <c r="J12" s="172" t="n">
        <v>0.345454545454545</v>
      </c>
      <c r="K12" s="172" t="n">
        <v>0.136363636363636</v>
      </c>
      <c r="L12" s="172" t="n">
        <v>0.2</v>
      </c>
      <c r="M12" s="227" t="n">
        <v>0</v>
      </c>
      <c r="N12" s="227" t="n">
        <v>0</v>
      </c>
      <c r="O12" s="227" t="n">
        <v>0</v>
      </c>
      <c r="P12" s="172" t="n">
        <f aca="false">SUM(D12:O12)-MIN(D12:O12)</f>
        <v>1.69871473354232</v>
      </c>
      <c r="Q12" s="172" t="n">
        <f aca="false">P12*11/10</f>
        <v>1.86858620689655</v>
      </c>
      <c r="R12" s="216"/>
      <c r="S12" s="217" t="n">
        <f aca="false">SUM(H12:O12)</f>
        <v>0.74871473354232</v>
      </c>
    </row>
    <row r="13" s="218" customFormat="true" ht="18" hidden="false" customHeight="true" outlineLevel="0" collapsed="false">
      <c r="A13" s="222" t="s">
        <v>375</v>
      </c>
      <c r="B13" s="209" t="n">
        <v>171</v>
      </c>
      <c r="C13" s="223" t="n">
        <v>10</v>
      </c>
      <c r="D13" s="211" t="n">
        <v>0.416666666666667</v>
      </c>
      <c r="E13" s="211" t="n">
        <v>0.466666666666667</v>
      </c>
      <c r="F13" s="226" t="n">
        <v>0</v>
      </c>
      <c r="G13" s="221" t="n">
        <v>0.34</v>
      </c>
      <c r="H13" s="227" t="n">
        <v>0</v>
      </c>
      <c r="I13" s="227" t="n">
        <v>0</v>
      </c>
      <c r="J13" s="172" t="n">
        <v>0.127272727272727</v>
      </c>
      <c r="K13" s="227" t="n">
        <v>0</v>
      </c>
      <c r="L13" s="226" t="n">
        <v>0</v>
      </c>
      <c r="M13" s="172" t="n">
        <v>0.125</v>
      </c>
      <c r="N13" s="172" t="n">
        <v>0.025</v>
      </c>
      <c r="O13" s="172" t="n">
        <v>0.01</v>
      </c>
      <c r="P13" s="172" t="n">
        <f aca="false">SUM(D13:O13)-MIN(D13:O13)</f>
        <v>1.51060606060606</v>
      </c>
      <c r="Q13" s="172" t="n">
        <f aca="false">P13*11/10</f>
        <v>1.66166666666667</v>
      </c>
      <c r="R13" s="216"/>
      <c r="S13" s="217" t="n">
        <f aca="false">SUM(H13:O13)</f>
        <v>0.287272727272727</v>
      </c>
      <c r="T13" s="219"/>
      <c r="U13" s="219"/>
      <c r="V13" s="219"/>
    </row>
    <row r="14" s="219" customFormat="true" ht="18" hidden="false" customHeight="true" outlineLevel="0" collapsed="false">
      <c r="A14" s="228" t="s">
        <v>376</v>
      </c>
      <c r="B14" s="224" t="n">
        <v>178</v>
      </c>
      <c r="C14" s="229" t="n">
        <v>10</v>
      </c>
      <c r="D14" s="220" t="n">
        <v>0.23</v>
      </c>
      <c r="E14" s="220" t="n">
        <v>0.383333333333333</v>
      </c>
      <c r="F14" s="226" t="n">
        <v>0</v>
      </c>
      <c r="G14" s="231" t="n">
        <v>0.244</v>
      </c>
      <c r="H14" s="211" t="n">
        <v>0.1</v>
      </c>
      <c r="I14" s="233" t="n">
        <v>0</v>
      </c>
      <c r="J14" s="172" t="n">
        <v>0.236363636363636</v>
      </c>
      <c r="K14" s="172" t="n">
        <v>0.0606060606060606</v>
      </c>
      <c r="L14" s="227" t="n">
        <v>0</v>
      </c>
      <c r="M14" s="227" t="n">
        <v>0</v>
      </c>
      <c r="N14" s="172" t="n">
        <v>0.025</v>
      </c>
      <c r="O14" s="172" t="n">
        <v>0.08</v>
      </c>
      <c r="P14" s="172" t="n">
        <f aca="false">SUM(D14:O14)-MIN(D14:O14)</f>
        <v>1.35930303030303</v>
      </c>
      <c r="Q14" s="172" t="n">
        <f aca="false">P14*11/10</f>
        <v>1.49523333333333</v>
      </c>
      <c r="R14" s="216"/>
      <c r="S14" s="217" t="n">
        <f aca="false">SUM(H14:O14)</f>
        <v>0.501969696969697</v>
      </c>
    </row>
    <row r="15" s="219" customFormat="true" ht="18" hidden="false" customHeight="true" outlineLevel="0" collapsed="false">
      <c r="A15" s="222" t="s">
        <v>368</v>
      </c>
      <c r="B15" s="209" t="n">
        <v>171</v>
      </c>
      <c r="C15" s="223" t="n">
        <v>10</v>
      </c>
      <c r="D15" s="211" t="n">
        <v>0.2</v>
      </c>
      <c r="E15" s="211" t="n">
        <v>0.413333333333333</v>
      </c>
      <c r="F15" s="226" t="n">
        <v>0</v>
      </c>
      <c r="G15" s="221" t="n">
        <v>0.562</v>
      </c>
      <c r="H15" s="226" t="n">
        <v>0</v>
      </c>
      <c r="I15" s="227" t="n">
        <v>0</v>
      </c>
      <c r="J15" s="227" t="n">
        <v>0</v>
      </c>
      <c r="K15" s="227" t="n">
        <v>0</v>
      </c>
      <c r="L15" s="227" t="n">
        <v>0</v>
      </c>
      <c r="M15" s="227" t="n">
        <v>0</v>
      </c>
      <c r="N15" s="227" t="n">
        <v>0</v>
      </c>
      <c r="O15" s="227" t="n">
        <v>0</v>
      </c>
      <c r="P15" s="172" t="n">
        <f aca="false">SUM(D15:O15)-MIN(D15:O15)</f>
        <v>1.17533333333333</v>
      </c>
      <c r="Q15" s="172" t="n">
        <f aca="false">P15*11/10</f>
        <v>1.29286666666667</v>
      </c>
      <c r="R15" s="232"/>
      <c r="S15" s="217" t="n">
        <f aca="false">SUM(H15:O15)</f>
        <v>0</v>
      </c>
    </row>
    <row r="16" s="219" customFormat="true" ht="18" hidden="false" customHeight="true" outlineLevel="0" collapsed="false">
      <c r="A16" s="222" t="s">
        <v>377</v>
      </c>
      <c r="B16" s="209" t="n">
        <v>171</v>
      </c>
      <c r="C16" s="223" t="n">
        <v>8</v>
      </c>
      <c r="D16" s="211" t="n">
        <v>0.283333333333333</v>
      </c>
      <c r="E16" s="211" t="n">
        <v>0.05</v>
      </c>
      <c r="F16" s="226" t="n">
        <v>0</v>
      </c>
      <c r="G16" s="233" t="n">
        <v>0</v>
      </c>
      <c r="H16" s="226" t="n">
        <v>0</v>
      </c>
      <c r="I16" s="227" t="n">
        <v>0</v>
      </c>
      <c r="J16" s="226" t="n">
        <v>0</v>
      </c>
      <c r="K16" s="227" t="n">
        <v>0</v>
      </c>
      <c r="L16" s="227" t="n">
        <v>0</v>
      </c>
      <c r="M16" s="227" t="n">
        <v>0</v>
      </c>
      <c r="N16" s="227" t="n">
        <v>0</v>
      </c>
      <c r="O16" s="227" t="n">
        <v>0</v>
      </c>
      <c r="P16" s="172" t="n">
        <f aca="false">SUM(D16:O16)-MIN(D16:O16)</f>
        <v>0.333333333333333</v>
      </c>
      <c r="Q16" s="172" t="n">
        <f aca="false">P16*6/5</f>
        <v>0.4</v>
      </c>
      <c r="R16" s="216"/>
      <c r="S16" s="217" t="n">
        <f aca="false">SUM(H16:O16)</f>
        <v>0</v>
      </c>
    </row>
    <row r="17" customFormat="false" ht="15.75" hidden="false" customHeight="false" outlineLevel="0" collapsed="false">
      <c r="O17" s="234"/>
    </row>
    <row r="18" customFormat="false" ht="15.75" hidden="false" customHeight="false" outlineLevel="0" collapsed="false">
      <c r="A18" s="118" t="s">
        <v>369</v>
      </c>
      <c r="B18" s="120"/>
      <c r="C18" s="120"/>
      <c r="D18" s="120"/>
      <c r="E18" s="120"/>
      <c r="F18" s="120"/>
      <c r="G18" s="120"/>
      <c r="H18" s="235"/>
      <c r="I18" s="235"/>
      <c r="J18" s="235"/>
      <c r="K18" s="235"/>
      <c r="L18" s="235"/>
      <c r="M18" s="235"/>
      <c r="N18" s="235"/>
      <c r="O18" s="236"/>
      <c r="P18" s="120"/>
      <c r="Q18" s="120"/>
      <c r="R18" s="120"/>
    </row>
    <row r="19" customFormat="false" ht="15.75" hidden="false" customHeight="false" outlineLevel="0" collapsed="false">
      <c r="A19" s="118" t="s">
        <v>378</v>
      </c>
      <c r="B19" s="120"/>
      <c r="C19" s="120"/>
      <c r="D19" s="120"/>
      <c r="E19" s="120"/>
      <c r="F19" s="120"/>
      <c r="G19" s="120"/>
      <c r="H19" s="235"/>
      <c r="I19" s="235"/>
      <c r="J19" s="235"/>
      <c r="K19" s="235"/>
      <c r="L19" s="235"/>
      <c r="M19" s="235"/>
      <c r="N19" s="235"/>
      <c r="O19" s="236"/>
      <c r="P19" s="120"/>
      <c r="Q19" s="120"/>
      <c r="R19" s="120"/>
    </row>
    <row r="20" customFormat="false" ht="15.75" hidden="false" customHeight="false" outlineLevel="0" collapsed="false">
      <c r="B20" s="120"/>
      <c r="C20" s="120"/>
      <c r="D20" s="120"/>
      <c r="E20" s="120"/>
      <c r="F20" s="120"/>
      <c r="G20" s="120"/>
      <c r="H20" s="235"/>
      <c r="I20" s="235"/>
      <c r="J20" s="235"/>
      <c r="K20" s="235"/>
      <c r="L20" s="235"/>
      <c r="M20" s="235"/>
      <c r="N20" s="235"/>
      <c r="O20" s="236"/>
      <c r="P20" s="120"/>
      <c r="Q20" s="120"/>
      <c r="R20" s="120"/>
    </row>
    <row r="21" customFormat="false" ht="15.75" hidden="false" customHeight="false" outlineLevel="0" collapsed="false">
      <c r="A21" s="118" t="s">
        <v>348</v>
      </c>
      <c r="B21" s="120"/>
      <c r="C21" s="120"/>
      <c r="D21" s="120"/>
      <c r="E21" s="120"/>
      <c r="F21" s="120"/>
      <c r="G21" s="120"/>
      <c r="H21" s="235"/>
      <c r="I21" s="235"/>
      <c r="J21" s="235"/>
      <c r="K21" s="235"/>
      <c r="L21" s="235"/>
      <c r="M21" s="235"/>
      <c r="N21" s="235"/>
      <c r="O21" s="236"/>
      <c r="P21" s="120"/>
      <c r="Q21" s="120"/>
      <c r="R21" s="120"/>
    </row>
    <row r="22" customFormat="false" ht="15.75" hidden="false" customHeight="false" outlineLevel="0" collapsed="false">
      <c r="A22" s="119" t="s">
        <v>349</v>
      </c>
      <c r="B22" s="120"/>
      <c r="C22" s="120"/>
      <c r="D22" s="120"/>
      <c r="E22" s="120"/>
      <c r="F22" s="120"/>
      <c r="G22" s="120"/>
      <c r="H22" s="235"/>
      <c r="I22" s="235"/>
      <c r="J22" s="235"/>
      <c r="K22" s="235"/>
      <c r="L22" s="235"/>
      <c r="M22" s="235"/>
      <c r="N22" s="235"/>
      <c r="O22" s="236"/>
      <c r="P22" s="120"/>
      <c r="Q22" s="120"/>
      <c r="R22" s="120" t="s">
        <v>237</v>
      </c>
    </row>
  </sheetData>
  <autoFilter ref="A1:R16"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2" min="2" style="0" width="4.57"/>
    <col collapsed="false" customWidth="true" hidden="false" outlineLevel="0" max="3" min="3" style="0" width="3.86"/>
    <col collapsed="false" customWidth="true" hidden="false" outlineLevel="0" max="17" min="4" style="0" width="6.71"/>
    <col collapsed="false" customWidth="false" hidden="false" outlineLevel="0" max="18" min="18" style="237" width="8.71"/>
  </cols>
  <sheetData>
    <row r="1" customFormat="false" ht="37.5" hidden="false" customHeight="false" outlineLevel="0" collapsed="false">
      <c r="A1" s="158" t="s">
        <v>119</v>
      </c>
      <c r="B1" s="203" t="s">
        <v>2</v>
      </c>
      <c r="C1" s="204" t="s">
        <v>1</v>
      </c>
      <c r="D1" s="205" t="s">
        <v>351</v>
      </c>
      <c r="E1" s="205" t="s">
        <v>352</v>
      </c>
      <c r="F1" s="206" t="s">
        <v>379</v>
      </c>
      <c r="G1" s="207" t="s">
        <v>327</v>
      </c>
      <c r="H1" s="161" t="s">
        <v>328</v>
      </c>
      <c r="I1" s="161" t="n">
        <v>4</v>
      </c>
      <c r="J1" s="161" t="n">
        <v>5</v>
      </c>
      <c r="K1" s="161" t="s">
        <v>266</v>
      </c>
      <c r="L1" s="161" t="s">
        <v>380</v>
      </c>
      <c r="M1" s="161" t="s">
        <v>381</v>
      </c>
      <c r="N1" s="161" t="s">
        <v>359</v>
      </c>
      <c r="O1" s="158" t="s">
        <v>382</v>
      </c>
      <c r="P1" s="161" t="s">
        <v>190</v>
      </c>
      <c r="Q1" s="161" t="s">
        <v>3</v>
      </c>
      <c r="R1" s="161" t="s">
        <v>4</v>
      </c>
    </row>
    <row r="2" customFormat="false" ht="15.95" hidden="false" customHeight="true" outlineLevel="0" collapsed="false">
      <c r="A2" s="222" t="s">
        <v>383</v>
      </c>
      <c r="B2" s="209" t="n">
        <v>171</v>
      </c>
      <c r="C2" s="212" t="n">
        <v>11</v>
      </c>
      <c r="D2" s="211" t="n">
        <f aca="false">274/600</f>
        <v>0.456666666666667</v>
      </c>
      <c r="E2" s="211" t="n">
        <f aca="false">188/600</f>
        <v>0.313333333333333</v>
      </c>
      <c r="F2" s="211" t="n">
        <f aca="false">38/80</f>
        <v>0.475</v>
      </c>
      <c r="G2" s="211" t="n">
        <f aca="false">82/140</f>
        <v>0.585714285714286</v>
      </c>
      <c r="H2" s="238" t="n">
        <f aca="false">18/24</f>
        <v>0.75</v>
      </c>
      <c r="I2" s="191" t="n">
        <f aca="false">265/400</f>
        <v>0.6625</v>
      </c>
      <c r="J2" s="172" t="n">
        <f aca="false">365/500</f>
        <v>0.73</v>
      </c>
      <c r="K2" s="225" t="n">
        <f aca="false">20/36</f>
        <v>0.555555555555556</v>
      </c>
      <c r="L2" s="239" t="n">
        <f aca="false">240/300</f>
        <v>0.8</v>
      </c>
      <c r="M2" s="211" t="n">
        <f aca="false">95/200</f>
        <v>0.475</v>
      </c>
      <c r="N2" s="211" t="n">
        <f aca="false">110/200</f>
        <v>0.55</v>
      </c>
      <c r="O2" s="211" t="n">
        <f aca="false">157/300</f>
        <v>0.523333333333333</v>
      </c>
      <c r="P2" s="172" t="n">
        <f aca="false">SUM(D2:O2)-MIN(D2:O2)</f>
        <v>6.56376984126984</v>
      </c>
      <c r="Q2" s="172" t="n">
        <f aca="false">P2</f>
        <v>6.56376984126984</v>
      </c>
      <c r="R2" s="177" t="s">
        <v>103</v>
      </c>
    </row>
    <row r="3" customFormat="false" ht="15.95" hidden="false" customHeight="true" outlineLevel="0" collapsed="false">
      <c r="A3" s="228" t="s">
        <v>384</v>
      </c>
      <c r="B3" s="224" t="s">
        <v>6</v>
      </c>
      <c r="C3" s="226" t="n">
        <v>11</v>
      </c>
      <c r="D3" s="220" t="n">
        <f aca="false">210/600</f>
        <v>0.35</v>
      </c>
      <c r="E3" s="220" t="n">
        <f aca="false">410/600</f>
        <v>0.683333333333333</v>
      </c>
      <c r="F3" s="211" t="n">
        <f aca="false">32/80</f>
        <v>0.4</v>
      </c>
      <c r="G3" s="211" t="n">
        <f aca="false">72/140</f>
        <v>0.514285714285714</v>
      </c>
      <c r="H3" s="240" t="n">
        <f aca="false">19/24</f>
        <v>0.791666666666667</v>
      </c>
      <c r="I3" s="173" t="n">
        <f aca="false">365/400</f>
        <v>0.9125</v>
      </c>
      <c r="J3" s="173" t="n">
        <f aca="false">390/500</f>
        <v>0.78</v>
      </c>
      <c r="K3" s="225" t="n">
        <f aca="false">9/36</f>
        <v>0.25</v>
      </c>
      <c r="L3" s="191" t="n">
        <f aca="false">140/300</f>
        <v>0.466666666666667</v>
      </c>
      <c r="M3" s="191" t="n">
        <f aca="false">5/200</f>
        <v>0.025</v>
      </c>
      <c r="N3" s="191" t="n">
        <f aca="false">8/200</f>
        <v>0.04</v>
      </c>
      <c r="O3" s="191" t="n">
        <f aca="false">60/300</f>
        <v>0.2</v>
      </c>
      <c r="P3" s="172" t="n">
        <f aca="false">SUM(D3:O3)-MIN(D3:O3)</f>
        <v>5.38845238095238</v>
      </c>
      <c r="Q3" s="172" t="n">
        <f aca="false">P3</f>
        <v>5.38845238095238</v>
      </c>
      <c r="R3" s="177" t="s">
        <v>103</v>
      </c>
    </row>
    <row r="4" customFormat="false" ht="15.95" hidden="false" customHeight="true" outlineLevel="0" collapsed="false">
      <c r="A4" s="228" t="s">
        <v>385</v>
      </c>
      <c r="B4" s="210" t="n">
        <v>52</v>
      </c>
      <c r="C4" s="241" t="n">
        <v>10</v>
      </c>
      <c r="D4" s="211" t="n">
        <f aca="false">218/600</f>
        <v>0.363333333333333</v>
      </c>
      <c r="E4" s="211" t="n">
        <f aca="false">114/600</f>
        <v>0.19</v>
      </c>
      <c r="F4" s="211" t="n">
        <f aca="false">3/80</f>
        <v>0.0375</v>
      </c>
      <c r="G4" s="212" t="n">
        <v>0</v>
      </c>
      <c r="H4" s="212" t="n">
        <v>0</v>
      </c>
      <c r="I4" s="211" t="n">
        <f aca="false">210/400</f>
        <v>0.525</v>
      </c>
      <c r="J4" s="172" t="n">
        <f aca="false">310/500</f>
        <v>0.62</v>
      </c>
      <c r="K4" s="191" t="n">
        <f aca="false">21/36</f>
        <v>0.583333333333333</v>
      </c>
      <c r="L4" s="240" t="n">
        <f aca="false">240/300</f>
        <v>0.8</v>
      </c>
      <c r="M4" s="211" t="n">
        <f aca="false">105/200</f>
        <v>0.525</v>
      </c>
      <c r="N4" s="172" t="n">
        <f aca="false">110/200</f>
        <v>0.55</v>
      </c>
      <c r="O4" s="172" t="n">
        <f aca="false">157/300</f>
        <v>0.523333333333333</v>
      </c>
      <c r="P4" s="172" t="n">
        <f aca="false">SUM(D4:O4)-MIN(D4:O4)</f>
        <v>4.7175</v>
      </c>
      <c r="Q4" s="172" t="n">
        <f aca="false">P4*1.1</f>
        <v>5.18925</v>
      </c>
      <c r="R4" s="177" t="s">
        <v>103</v>
      </c>
    </row>
    <row r="5" customFormat="false" ht="15.95" hidden="false" customHeight="true" outlineLevel="0" collapsed="false">
      <c r="A5" s="228" t="s">
        <v>386</v>
      </c>
      <c r="B5" s="210" t="s">
        <v>6</v>
      </c>
      <c r="C5" s="226" t="n">
        <v>11</v>
      </c>
      <c r="D5" s="220" t="n">
        <f aca="false">316/600</f>
        <v>0.526666666666667</v>
      </c>
      <c r="E5" s="220" t="n">
        <f aca="false">142/600</f>
        <v>0.236666666666667</v>
      </c>
      <c r="F5" s="211" t="n">
        <f aca="false">21/80</f>
        <v>0.2625</v>
      </c>
      <c r="G5" s="211" t="n">
        <f aca="false">47/140</f>
        <v>0.335714285714286</v>
      </c>
      <c r="H5" s="211" t="n">
        <f aca="false">17/24</f>
        <v>0.708333333333333</v>
      </c>
      <c r="I5" s="225" t="n">
        <f aca="false">275/400</f>
        <v>0.6875</v>
      </c>
      <c r="J5" s="172" t="n">
        <f aca="false">345/500</f>
        <v>0.69</v>
      </c>
      <c r="K5" s="172" t="n">
        <f aca="false">8/36</f>
        <v>0.222222222222222</v>
      </c>
      <c r="L5" s="225" t="n">
        <f aca="false">164/300</f>
        <v>0.546666666666667</v>
      </c>
      <c r="M5" s="212" t="n">
        <v>0</v>
      </c>
      <c r="N5" s="172" t="n">
        <f aca="false">66/200</f>
        <v>0.33</v>
      </c>
      <c r="O5" s="172" t="n">
        <f aca="false">122/300</f>
        <v>0.406666666666667</v>
      </c>
      <c r="P5" s="172" t="n">
        <f aca="false">SUM(D5:O5)-MIN(D5:O5)</f>
        <v>4.95293650793651</v>
      </c>
      <c r="Q5" s="172" t="n">
        <f aca="false">P5</f>
        <v>4.95293650793651</v>
      </c>
      <c r="R5" s="177" t="s">
        <v>103</v>
      </c>
    </row>
    <row r="6" customFormat="false" ht="15.95" hidden="false" customHeight="true" outlineLevel="0" collapsed="false">
      <c r="A6" s="208" t="s">
        <v>387</v>
      </c>
      <c r="B6" s="223" t="n">
        <v>208</v>
      </c>
      <c r="C6" s="241" t="n">
        <v>10</v>
      </c>
      <c r="D6" s="211" t="n">
        <f aca="false">180/600</f>
        <v>0.3</v>
      </c>
      <c r="E6" s="211" t="n">
        <f aca="false">276/600</f>
        <v>0.46</v>
      </c>
      <c r="F6" s="211" t="n">
        <f aca="false">18/80</f>
        <v>0.225</v>
      </c>
      <c r="G6" s="211" t="n">
        <f aca="false">6/140</f>
        <v>0.0428571428571429</v>
      </c>
      <c r="H6" s="225" t="n">
        <f aca="false">17/24</f>
        <v>0.708333333333333</v>
      </c>
      <c r="I6" s="211" t="n">
        <f aca="false">182/400</f>
        <v>0.455</v>
      </c>
      <c r="J6" s="211" t="n">
        <f aca="false">310/500</f>
        <v>0.62</v>
      </c>
      <c r="K6" s="211" t="n">
        <f aca="false">2/36</f>
        <v>0.0555555555555556</v>
      </c>
      <c r="L6" s="211" t="n">
        <f aca="false">93/300</f>
        <v>0.31</v>
      </c>
      <c r="M6" s="211" t="n">
        <f aca="false">40/200</f>
        <v>0.2</v>
      </c>
      <c r="N6" s="225" t="n">
        <f aca="false">97/200</f>
        <v>0.485</v>
      </c>
      <c r="O6" s="211" t="n">
        <f aca="false">28/300</f>
        <v>0.0933333333333333</v>
      </c>
      <c r="P6" s="172" t="n">
        <f aca="false">SUM(D6:O6)-MIN(D6:O6)</f>
        <v>3.91222222222222</v>
      </c>
      <c r="Q6" s="172" t="n">
        <f aca="false">P6*1.1</f>
        <v>4.30344444444444</v>
      </c>
      <c r="R6" s="177" t="s">
        <v>103</v>
      </c>
    </row>
    <row r="7" customFormat="false" ht="15.95" hidden="false" customHeight="true" outlineLevel="0" collapsed="false">
      <c r="A7" s="208" t="s">
        <v>388</v>
      </c>
      <c r="B7" s="209" t="n">
        <v>171</v>
      </c>
      <c r="C7" s="241" t="n">
        <v>8</v>
      </c>
      <c r="D7" s="220" t="n">
        <f aca="false">198/600</f>
        <v>0.33</v>
      </c>
      <c r="E7" s="220" t="n">
        <f aca="false">82/600</f>
        <v>0.136666666666667</v>
      </c>
      <c r="F7" s="212" t="n">
        <v>0</v>
      </c>
      <c r="G7" s="211" t="n">
        <f aca="false">40/140</f>
        <v>0.285714285714286</v>
      </c>
      <c r="H7" s="211" t="n">
        <f aca="false">11/24</f>
        <v>0.458333333333333</v>
      </c>
      <c r="I7" s="211" t="n">
        <f aca="false">138/400</f>
        <v>0.345</v>
      </c>
      <c r="J7" s="172" t="n">
        <f aca="false">255/500</f>
        <v>0.51</v>
      </c>
      <c r="K7" s="211" t="n">
        <f aca="false">11/36</f>
        <v>0.305555555555556</v>
      </c>
      <c r="L7" s="211" t="n">
        <f aca="false">143/300</f>
        <v>0.476666666666667</v>
      </c>
      <c r="M7" s="172" t="n">
        <f aca="false">25/200</f>
        <v>0.125</v>
      </c>
      <c r="N7" s="172" t="n">
        <f aca="false">100/200</f>
        <v>0.5</v>
      </c>
      <c r="O7" s="212" t="n">
        <v>0</v>
      </c>
      <c r="P7" s="172" t="n">
        <f aca="false">SUM(D7:O7)-MIN(D7:O7)</f>
        <v>3.47293650793651</v>
      </c>
      <c r="Q7" s="172" t="n">
        <f aca="false">P7*1.2</f>
        <v>4.16752380952381</v>
      </c>
      <c r="R7" s="177" t="s">
        <v>103</v>
      </c>
    </row>
    <row r="8" customFormat="false" ht="15.95" hidden="false" customHeight="true" outlineLevel="0" collapsed="false">
      <c r="A8" s="208" t="s">
        <v>372</v>
      </c>
      <c r="B8" s="224" t="s">
        <v>6</v>
      </c>
      <c r="C8" s="241" t="n">
        <v>10</v>
      </c>
      <c r="D8" s="220" t="n">
        <f aca="false">190/600</f>
        <v>0.316666666666667</v>
      </c>
      <c r="E8" s="220" t="n">
        <f aca="false">124/600</f>
        <v>0.206666666666667</v>
      </c>
      <c r="F8" s="211" t="n">
        <f aca="false">6/80</f>
        <v>0.075</v>
      </c>
      <c r="G8" s="212" t="n">
        <v>0</v>
      </c>
      <c r="H8" s="172" t="n">
        <f aca="false">14/24</f>
        <v>0.583333333333333</v>
      </c>
      <c r="I8" s="173" t="n">
        <f aca="false">310/400</f>
        <v>0.775</v>
      </c>
      <c r="J8" s="172" t="n">
        <f aca="false">280/500</f>
        <v>0.56</v>
      </c>
      <c r="K8" s="181" t="n">
        <v>0</v>
      </c>
      <c r="L8" s="191" t="n">
        <f aca="false">100/300</f>
        <v>0.333333333333333</v>
      </c>
      <c r="M8" s="172" t="n">
        <f aca="false">30/200</f>
        <v>0.15</v>
      </c>
      <c r="N8" s="191" t="n">
        <f aca="false">36/200</f>
        <v>0.18</v>
      </c>
      <c r="O8" s="191" t="n">
        <f aca="false">48/300</f>
        <v>0.16</v>
      </c>
      <c r="P8" s="172" t="n">
        <f aca="false">SUM(D8:O8)-MIN(D8:O8)</f>
        <v>3.34</v>
      </c>
      <c r="Q8" s="172" t="n">
        <f aca="false">P8*1.1</f>
        <v>3.674</v>
      </c>
      <c r="R8" s="177" t="s">
        <v>103</v>
      </c>
    </row>
    <row r="9" customFormat="false" ht="15.95" hidden="false" customHeight="true" outlineLevel="0" collapsed="false">
      <c r="A9" s="228" t="s">
        <v>368</v>
      </c>
      <c r="B9" s="224" t="n">
        <v>171</v>
      </c>
      <c r="C9" s="241" t="n">
        <v>11</v>
      </c>
      <c r="D9" s="220" t="n">
        <f aca="false">298/600</f>
        <v>0.496666666666667</v>
      </c>
      <c r="E9" s="220" t="n">
        <f aca="false">180/600</f>
        <v>0.3</v>
      </c>
      <c r="F9" s="212" t="n">
        <v>0</v>
      </c>
      <c r="G9" s="211" t="n">
        <f aca="false">25/140</f>
        <v>0.178571428571429</v>
      </c>
      <c r="H9" s="172" t="n">
        <f aca="false">1/24</f>
        <v>0.0416666666666667</v>
      </c>
      <c r="I9" s="172" t="n">
        <f aca="false">250/400</f>
        <v>0.625</v>
      </c>
      <c r="J9" s="172" t="n">
        <f aca="false">335/500</f>
        <v>0.67</v>
      </c>
      <c r="K9" s="172" t="n">
        <f aca="false">6/36</f>
        <v>0.166666666666667</v>
      </c>
      <c r="L9" s="172" t="n">
        <f aca="false">154/300</f>
        <v>0.513333333333333</v>
      </c>
      <c r="M9" s="212" t="n">
        <v>0</v>
      </c>
      <c r="N9" s="191" t="n">
        <f aca="false">24/200</f>
        <v>0.12</v>
      </c>
      <c r="O9" s="212" t="n">
        <v>0</v>
      </c>
      <c r="P9" s="172" t="n">
        <f aca="false">SUM(D9:O9)-MIN(D9:O9)</f>
        <v>3.11190476190476</v>
      </c>
      <c r="Q9" s="172" t="n">
        <f aca="false">P9</f>
        <v>3.11190476190476</v>
      </c>
      <c r="R9" s="242"/>
    </row>
    <row r="10" customFormat="false" ht="15.95" hidden="false" customHeight="true" outlineLevel="0" collapsed="false">
      <c r="A10" s="222" t="s">
        <v>389</v>
      </c>
      <c r="B10" s="223" t="n">
        <v>171</v>
      </c>
      <c r="C10" s="212" t="n">
        <v>9</v>
      </c>
      <c r="D10" s="211" t="n">
        <f aca="false">201/600</f>
        <v>0.335</v>
      </c>
      <c r="E10" s="211" t="n">
        <f aca="false">232/600</f>
        <v>0.386666666666667</v>
      </c>
      <c r="F10" s="212" t="n">
        <v>0</v>
      </c>
      <c r="G10" s="212" t="n">
        <v>0</v>
      </c>
      <c r="H10" s="172" t="n">
        <f aca="false">3/24</f>
        <v>0.125</v>
      </c>
      <c r="I10" s="172" t="n">
        <f aca="false">232/400</f>
        <v>0.58</v>
      </c>
      <c r="J10" s="172" t="n">
        <f aca="false">225/500</f>
        <v>0.45</v>
      </c>
      <c r="K10" s="181" t="n">
        <v>0</v>
      </c>
      <c r="L10" s="181" t="n">
        <v>0</v>
      </c>
      <c r="M10" s="172" t="n">
        <f aca="false">25/200</f>
        <v>0.125</v>
      </c>
      <c r="N10" s="211" t="n">
        <f aca="false">16/200</f>
        <v>0.08</v>
      </c>
      <c r="O10" s="211" t="n">
        <f aca="false">4/300</f>
        <v>0.0133333333333333</v>
      </c>
      <c r="P10" s="172" t="n">
        <f aca="false">SUM(D10:O10)-MIN(D10:O10)</f>
        <v>2.095</v>
      </c>
      <c r="Q10" s="172" t="n">
        <f aca="false">P10*1.2</f>
        <v>2.514</v>
      </c>
      <c r="R10" s="177" t="s">
        <v>103</v>
      </c>
    </row>
    <row r="11" customFormat="false" ht="15.95" hidden="false" customHeight="true" outlineLevel="0" collapsed="false">
      <c r="A11" s="208" t="s">
        <v>390</v>
      </c>
      <c r="B11" s="209" t="n">
        <v>171</v>
      </c>
      <c r="C11" s="241" t="n">
        <v>10</v>
      </c>
      <c r="D11" s="220" t="n">
        <f aca="false">238/600</f>
        <v>0.396666666666667</v>
      </c>
      <c r="E11" s="220" t="n">
        <f aca="false">166/600</f>
        <v>0.276666666666667</v>
      </c>
      <c r="F11" s="211" t="n">
        <f aca="false">12/80</f>
        <v>0.15</v>
      </c>
      <c r="G11" s="212" t="n">
        <v>0</v>
      </c>
      <c r="H11" s="211" t="n">
        <f aca="false">11/24</f>
        <v>0.458333333333333</v>
      </c>
      <c r="I11" s="211" t="n">
        <f aca="false">191/400</f>
        <v>0.4775</v>
      </c>
      <c r="J11" s="172" t="n">
        <f aca="false">125/500</f>
        <v>0.25</v>
      </c>
      <c r="K11" s="221" t="n">
        <f aca="false">1/36</f>
        <v>0.0277777777777778</v>
      </c>
      <c r="L11" s="211" t="n">
        <f aca="false">60/300</f>
        <v>0.2</v>
      </c>
      <c r="M11" s="211" t="n">
        <f aca="false">5/200</f>
        <v>0.025</v>
      </c>
      <c r="N11" s="181" t="n">
        <v>0</v>
      </c>
      <c r="O11" s="181" t="n">
        <v>0</v>
      </c>
      <c r="P11" s="172" t="n">
        <f aca="false">SUM(D11:O11)-MIN(D11:O11)</f>
        <v>2.26194444444444</v>
      </c>
      <c r="Q11" s="172" t="n">
        <f aca="false">P11*1.1</f>
        <v>2.48813888888889</v>
      </c>
      <c r="R11" s="177"/>
    </row>
    <row r="12" customFormat="false" ht="15.95" hidden="false" customHeight="true" outlineLevel="0" collapsed="false">
      <c r="A12" s="208" t="s">
        <v>391</v>
      </c>
      <c r="B12" s="223" t="s">
        <v>137</v>
      </c>
      <c r="C12" s="241" t="n">
        <v>8</v>
      </c>
      <c r="D12" s="211" t="n">
        <f aca="false">302/600</f>
        <v>0.503333333333333</v>
      </c>
      <c r="E12" s="211" t="n">
        <f aca="false">58/600</f>
        <v>0.0966666666666667</v>
      </c>
      <c r="F12" s="211" t="n">
        <f aca="false">3/80</f>
        <v>0.0375</v>
      </c>
      <c r="G12" s="212" t="n">
        <v>0</v>
      </c>
      <c r="H12" s="181" t="n">
        <v>0</v>
      </c>
      <c r="I12" s="172" t="n">
        <f aca="false">85/400</f>
        <v>0.2125</v>
      </c>
      <c r="J12" s="172" t="n">
        <f aca="false">320/500</f>
        <v>0.64</v>
      </c>
      <c r="K12" s="172" t="n">
        <f aca="false">2/36</f>
        <v>0.0555555555555556</v>
      </c>
      <c r="L12" s="172" t="n">
        <f aca="false">9/300</f>
        <v>0.03</v>
      </c>
      <c r="M12" s="172" t="n">
        <f aca="false">25/200</f>
        <v>0.125</v>
      </c>
      <c r="N12" s="181" t="n">
        <v>0</v>
      </c>
      <c r="O12" s="172" t="n">
        <f aca="false">35/300</f>
        <v>0.116666666666667</v>
      </c>
      <c r="P12" s="172" t="n">
        <f aca="false">SUM(D12:O12)-MIN(D12:O12)</f>
        <v>1.81722222222222</v>
      </c>
      <c r="Q12" s="172" t="n">
        <f aca="false">P12*1.2</f>
        <v>2.18066666666667</v>
      </c>
      <c r="R12" s="242"/>
    </row>
    <row r="13" customFormat="false" ht="15.95" hidden="false" customHeight="true" outlineLevel="0" collapsed="false">
      <c r="A13" s="222" t="s">
        <v>392</v>
      </c>
      <c r="B13" s="209" t="s">
        <v>6</v>
      </c>
      <c r="C13" s="212" t="n">
        <v>11</v>
      </c>
      <c r="D13" s="211" t="n">
        <f aca="false">278/600</f>
        <v>0.463333333333333</v>
      </c>
      <c r="E13" s="211" t="n">
        <f aca="false">98/600</f>
        <v>0.163333333333333</v>
      </c>
      <c r="F13" s="212" t="n">
        <v>0</v>
      </c>
      <c r="G13" s="212" t="n">
        <v>0</v>
      </c>
      <c r="H13" s="212" t="n">
        <v>0</v>
      </c>
      <c r="I13" s="191" t="n">
        <f aca="false">267/400</f>
        <v>0.6675</v>
      </c>
      <c r="J13" s="191" t="n">
        <f aca="false">230/500</f>
        <v>0.46</v>
      </c>
      <c r="K13" s="191" t="n">
        <f aca="false">4/36</f>
        <v>0.111111111111111</v>
      </c>
      <c r="L13" s="212" t="n">
        <v>0</v>
      </c>
      <c r="M13" s="191" t="n">
        <f aca="false">15/200</f>
        <v>0.075</v>
      </c>
      <c r="N13" s="225" t="n">
        <f aca="false">16/200</f>
        <v>0.08</v>
      </c>
      <c r="O13" s="191" t="n">
        <f aca="false">25/300</f>
        <v>0.0833333333333333</v>
      </c>
      <c r="P13" s="172" t="n">
        <f aca="false">SUM(D13:O13)-MIN(D13:O13)</f>
        <v>2.10361111111111</v>
      </c>
      <c r="Q13" s="172" t="n">
        <f aca="false">P13</f>
        <v>2.10361111111111</v>
      </c>
      <c r="R13" s="177"/>
    </row>
    <row r="14" customFormat="false" ht="15.95" hidden="false" customHeight="true" outlineLevel="0" collapsed="false">
      <c r="A14" s="208" t="s">
        <v>393</v>
      </c>
      <c r="B14" s="224" t="s">
        <v>6</v>
      </c>
      <c r="C14" s="226" t="n">
        <v>9</v>
      </c>
      <c r="D14" s="225" t="n">
        <f aca="false">278/600</f>
        <v>0.463333333333333</v>
      </c>
      <c r="E14" s="225" t="n">
        <f aca="false">56/600</f>
        <v>0.0933333333333333</v>
      </c>
      <c r="F14" s="212" t="n">
        <v>0</v>
      </c>
      <c r="G14" s="212" t="n">
        <v>0</v>
      </c>
      <c r="H14" s="212" t="n">
        <v>0</v>
      </c>
      <c r="I14" s="212" t="n">
        <v>0</v>
      </c>
      <c r="J14" s="212" t="n">
        <v>0</v>
      </c>
      <c r="K14" s="212" t="n">
        <v>0</v>
      </c>
      <c r="L14" s="212" t="n">
        <v>0</v>
      </c>
      <c r="M14" s="212" t="n">
        <v>0</v>
      </c>
      <c r="N14" s="212" t="n">
        <v>0</v>
      </c>
      <c r="O14" s="212" t="n">
        <v>0</v>
      </c>
      <c r="P14" s="172" t="n">
        <f aca="false">SUM(D14:O14)-MIN(D14:O14)</f>
        <v>0.556666666666667</v>
      </c>
      <c r="Q14" s="172" t="n">
        <f aca="false">P14*1.2</f>
        <v>0.668</v>
      </c>
      <c r="R14" s="242"/>
    </row>
    <row r="15" customFormat="false" ht="15.95" hidden="false" customHeight="true" outlineLevel="0" collapsed="false">
      <c r="A15" s="228" t="s">
        <v>394</v>
      </c>
      <c r="B15" s="243" t="s">
        <v>6</v>
      </c>
      <c r="C15" s="212" t="n">
        <v>9</v>
      </c>
      <c r="D15" s="211" t="n">
        <f aca="false">158/600</f>
        <v>0.263333333333333</v>
      </c>
      <c r="E15" s="211" t="n">
        <f aca="false">122/600</f>
        <v>0.203333333333333</v>
      </c>
      <c r="F15" s="212" t="n">
        <v>0</v>
      </c>
      <c r="G15" s="212" t="n">
        <v>0</v>
      </c>
      <c r="H15" s="212" t="n">
        <v>0</v>
      </c>
      <c r="I15" s="181" t="n">
        <v>0</v>
      </c>
      <c r="J15" s="181" t="n">
        <v>0</v>
      </c>
      <c r="K15" s="181" t="n">
        <v>0</v>
      </c>
      <c r="L15" s="181" t="n">
        <v>0</v>
      </c>
      <c r="M15" s="181" t="n">
        <v>0</v>
      </c>
      <c r="N15" s="181" t="n">
        <v>0</v>
      </c>
      <c r="O15" s="181" t="n">
        <v>0</v>
      </c>
      <c r="P15" s="172" t="n">
        <f aca="false">SUM(D15:O15)-MIN(D15:O15)</f>
        <v>0.466666666666667</v>
      </c>
      <c r="Q15" s="172" t="n">
        <f aca="false">P15*1.2</f>
        <v>0.56</v>
      </c>
      <c r="R15" s="242"/>
    </row>
    <row r="16" customFormat="false" ht="15.75" hidden="false" customHeight="false" outlineLevel="0" collapsed="false">
      <c r="A16" s="118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34"/>
      <c r="P16" s="202"/>
      <c r="Q16" s="202"/>
      <c r="R16" s="202"/>
    </row>
    <row r="17" customFormat="false" ht="15.75" hidden="false" customHeight="false" outlineLevel="0" collapsed="false">
      <c r="A17" s="118" t="s">
        <v>369</v>
      </c>
      <c r="B17" s="120"/>
      <c r="C17" s="120"/>
      <c r="D17" s="120"/>
      <c r="E17" s="120"/>
      <c r="F17" s="120"/>
      <c r="G17" s="120"/>
      <c r="H17" s="235"/>
      <c r="I17" s="235"/>
      <c r="J17" s="235"/>
      <c r="K17" s="235"/>
      <c r="L17" s="235"/>
      <c r="M17" s="235"/>
      <c r="N17" s="235"/>
      <c r="O17" s="236"/>
      <c r="P17" s="120"/>
      <c r="Q17" s="120"/>
      <c r="R17" s="120"/>
    </row>
    <row r="18" customFormat="false" ht="15.75" hidden="false" customHeight="false" outlineLevel="0" collapsed="false">
      <c r="A18" s="118" t="s">
        <v>395</v>
      </c>
      <c r="B18" s="120"/>
      <c r="C18" s="120"/>
      <c r="D18" s="120"/>
      <c r="E18" s="120"/>
      <c r="F18" s="120"/>
      <c r="G18" s="120"/>
      <c r="H18" s="235"/>
      <c r="I18" s="235"/>
      <c r="J18" s="235"/>
      <c r="K18" s="235"/>
      <c r="L18" s="235"/>
      <c r="M18" s="235"/>
      <c r="N18" s="235"/>
      <c r="O18" s="236"/>
      <c r="P18" s="120"/>
      <c r="Q18" s="120"/>
      <c r="R18" s="120"/>
    </row>
    <row r="19" customFormat="false" ht="15.75" hidden="false" customHeight="false" outlineLevel="0" collapsed="false">
      <c r="A19" s="118"/>
      <c r="B19" s="120"/>
      <c r="C19" s="120"/>
      <c r="D19" s="120"/>
      <c r="E19" s="120"/>
      <c r="F19" s="120"/>
      <c r="G19" s="120"/>
      <c r="H19" s="235"/>
      <c r="I19" s="235"/>
      <c r="J19" s="235"/>
      <c r="K19" s="235"/>
      <c r="L19" s="235"/>
      <c r="M19" s="235"/>
      <c r="N19" s="235"/>
      <c r="O19" s="236"/>
      <c r="P19" s="120"/>
      <c r="Q19" s="120"/>
      <c r="R19" s="120"/>
    </row>
    <row r="20" customFormat="false" ht="15.75" hidden="false" customHeight="false" outlineLevel="0" collapsed="false">
      <c r="A20" s="118" t="s">
        <v>348</v>
      </c>
      <c r="B20" s="120"/>
      <c r="C20" s="120"/>
      <c r="D20" s="120"/>
      <c r="E20" s="120"/>
      <c r="F20" s="120"/>
      <c r="G20" s="120"/>
      <c r="H20" s="235"/>
      <c r="I20" s="235"/>
      <c r="J20" s="235"/>
      <c r="K20" s="235"/>
      <c r="L20" s="235"/>
      <c r="M20" s="235"/>
      <c r="N20" s="235"/>
      <c r="O20" s="236"/>
      <c r="P20" s="120"/>
      <c r="Q20" s="120"/>
      <c r="R20" s="120"/>
    </row>
    <row r="21" customFormat="false" ht="15.75" hidden="false" customHeight="false" outlineLevel="0" collapsed="false">
      <c r="A21" s="119" t="s">
        <v>349</v>
      </c>
      <c r="B21" s="120"/>
      <c r="C21" s="120"/>
      <c r="D21" s="120"/>
      <c r="E21" s="120"/>
      <c r="F21" s="120"/>
      <c r="G21" s="120"/>
      <c r="H21" s="235"/>
      <c r="I21" s="235"/>
      <c r="J21" s="235"/>
      <c r="K21" s="235"/>
      <c r="L21" s="235"/>
      <c r="M21" s="235"/>
      <c r="N21" s="235"/>
      <c r="O21" s="236"/>
      <c r="P21" s="120"/>
      <c r="Q21" s="120"/>
      <c r="R21" s="120" t="s">
        <v>237</v>
      </c>
    </row>
    <row r="22" customFormat="false" ht="15.75" hidden="false" customHeight="false" outlineLevel="0" collapsed="false">
      <c r="A22" s="118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</row>
    <row r="23" customFormat="false" ht="15.75" hidden="false" customHeight="false" outlineLevel="0" collapsed="false">
      <c r="A23" s="118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</row>
    <row r="24" customFormat="false" ht="15.75" hidden="false" customHeight="false" outlineLevel="0" collapsed="false">
      <c r="A24" s="118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</row>
    <row r="25" customFormat="false" ht="15.75" hidden="false" customHeight="false" outlineLevel="0" collapsed="false">
      <c r="A25" s="118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4" activeCellId="0" sqref="I4"/>
    </sheetView>
  </sheetViews>
  <sheetFormatPr defaultColWidth="8.6875" defaultRowHeight="16.5" zeroHeight="false" outlineLevelRow="0" outlineLevelCol="0"/>
  <cols>
    <col collapsed="false" customWidth="true" hidden="false" outlineLevel="0" max="1" min="1" style="0" width="34.14"/>
    <col collapsed="false" customWidth="true" hidden="false" outlineLevel="0" max="2" min="2" style="0" width="4.57"/>
    <col collapsed="false" customWidth="true" hidden="false" outlineLevel="0" max="3" min="3" style="0" width="3.86"/>
    <col collapsed="false" customWidth="true" hidden="false" outlineLevel="0" max="11" min="4" style="0" width="6.71"/>
  </cols>
  <sheetData>
    <row r="1" customFormat="false" ht="16.5" hidden="false" customHeight="true" outlineLevel="0" collapsed="false">
      <c r="A1" s="158" t="s">
        <v>119</v>
      </c>
      <c r="B1" s="203" t="s">
        <v>2</v>
      </c>
      <c r="C1" s="204" t="s">
        <v>1</v>
      </c>
      <c r="D1" s="205" t="s">
        <v>351</v>
      </c>
      <c r="E1" s="205" t="s">
        <v>352</v>
      </c>
      <c r="F1" s="206" t="n">
        <v>1</v>
      </c>
      <c r="G1" s="207" t="s">
        <v>396</v>
      </c>
      <c r="H1" s="161" t="n">
        <v>3</v>
      </c>
      <c r="I1" s="161" t="n">
        <v>4</v>
      </c>
      <c r="J1" s="170" t="s">
        <v>397</v>
      </c>
      <c r="K1" s="161" t="s">
        <v>3</v>
      </c>
      <c r="L1" s="244" t="s">
        <v>4</v>
      </c>
    </row>
    <row r="2" customFormat="false" ht="16.5" hidden="false" customHeight="true" outlineLevel="0" collapsed="false">
      <c r="A2" s="245" t="s">
        <v>398</v>
      </c>
      <c r="B2" s="246" t="s">
        <v>141</v>
      </c>
      <c r="C2" s="247" t="n">
        <v>11</v>
      </c>
      <c r="D2" s="248" t="n">
        <f aca="false">560/600</f>
        <v>0.933333333333333</v>
      </c>
      <c r="E2" s="249" t="n">
        <f aca="false">76/600</f>
        <v>0.126666666666667</v>
      </c>
      <c r="F2" s="250" t="n">
        <f aca="false">230/400</f>
        <v>0.575</v>
      </c>
      <c r="G2" s="211" t="n">
        <f aca="false">8/29</f>
        <v>0.275862068965517</v>
      </c>
      <c r="H2" s="251" t="n">
        <f aca="false">240/400</f>
        <v>0.6</v>
      </c>
      <c r="I2" s="252" t="n">
        <v>1</v>
      </c>
      <c r="J2" s="172" t="n">
        <f aca="false">SUM(D2:I2)-MIN(D2:I2)</f>
        <v>3.38419540229885</v>
      </c>
      <c r="K2" s="253" t="n">
        <f aca="false">J2</f>
        <v>3.38419540229885</v>
      </c>
      <c r="L2" s="254" t="s">
        <v>103</v>
      </c>
    </row>
    <row r="3" customFormat="false" ht="16.5" hidden="false" customHeight="true" outlineLevel="0" collapsed="false">
      <c r="A3" s="245" t="s">
        <v>399</v>
      </c>
      <c r="B3" s="255" t="n">
        <v>171</v>
      </c>
      <c r="C3" s="247" t="n">
        <v>9</v>
      </c>
      <c r="D3" s="256" t="n">
        <f aca="false">560/600</f>
        <v>0.933333333333333</v>
      </c>
      <c r="E3" s="220" t="n">
        <f aca="false">108/600</f>
        <v>0.18</v>
      </c>
      <c r="F3" s="248" t="n">
        <f aca="false">340/400</f>
        <v>0.85</v>
      </c>
      <c r="G3" s="211" t="n">
        <f aca="false">8/29</f>
        <v>0.275862068965517</v>
      </c>
      <c r="H3" s="211" t="n">
        <f aca="false">220/400</f>
        <v>0.55</v>
      </c>
      <c r="I3" s="250" t="n">
        <v>0</v>
      </c>
      <c r="J3" s="172" t="n">
        <f aca="false">SUM(D3:I3)-MIN(D3:I3)</f>
        <v>2.78919540229885</v>
      </c>
      <c r="K3" s="257" t="n">
        <f aca="false">J3*1.2</f>
        <v>3.34703448275862</v>
      </c>
      <c r="L3" s="254" t="s">
        <v>103</v>
      </c>
    </row>
    <row r="4" customFormat="false" ht="16.5" hidden="false" customHeight="true" outlineLevel="0" collapsed="false">
      <c r="A4" s="245" t="s">
        <v>390</v>
      </c>
      <c r="B4" s="255" t="n">
        <v>171</v>
      </c>
      <c r="C4" s="247" t="n">
        <v>11</v>
      </c>
      <c r="D4" s="258" t="n">
        <f aca="false">520/600</f>
        <v>0.866666666666667</v>
      </c>
      <c r="E4" s="225" t="n">
        <f aca="false">416/600</f>
        <v>0.693333333333333</v>
      </c>
      <c r="F4" s="248" t="n">
        <f aca="false">340/400</f>
        <v>0.85</v>
      </c>
      <c r="G4" s="211" t="n">
        <f aca="false">8/29</f>
        <v>0.275862068965517</v>
      </c>
      <c r="H4" s="211" t="n">
        <f aca="false">120/400</f>
        <v>0.3</v>
      </c>
      <c r="I4" s="211" t="n">
        <f aca="false">10/200</f>
        <v>0.05</v>
      </c>
      <c r="J4" s="172" t="n">
        <f aca="false">SUM(D4:I4)-MIN(D4:I4)</f>
        <v>2.98586206896552</v>
      </c>
      <c r="K4" s="253" t="n">
        <f aca="false">J4</f>
        <v>2.98586206896552</v>
      </c>
      <c r="L4" s="254" t="s">
        <v>103</v>
      </c>
    </row>
    <row r="5" customFormat="false" ht="16.5" hidden="false" customHeight="true" outlineLevel="0" collapsed="false">
      <c r="A5" s="259" t="s">
        <v>387</v>
      </c>
      <c r="B5" s="255" t="n">
        <v>208</v>
      </c>
      <c r="C5" s="260" t="n">
        <v>11</v>
      </c>
      <c r="D5" s="248" t="n">
        <f aca="false">560/600</f>
        <v>0.933333333333333</v>
      </c>
      <c r="E5" s="211" t="n">
        <f aca="false">180/600</f>
        <v>0.3</v>
      </c>
      <c r="F5" s="248" t="n">
        <f aca="false">340/400</f>
        <v>0.85</v>
      </c>
      <c r="G5" s="211" t="n">
        <f aca="false">8/29</f>
        <v>0.275862068965517</v>
      </c>
      <c r="H5" s="211" t="n">
        <f aca="false">220/400</f>
        <v>0.55</v>
      </c>
      <c r="I5" s="212" t="n">
        <v>0</v>
      </c>
      <c r="J5" s="172" t="n">
        <f aca="false">SUM(D5:I5)-MIN(D5:I5)</f>
        <v>2.90919540229885</v>
      </c>
      <c r="K5" s="253" t="n">
        <f aca="false">J5</f>
        <v>2.90919540229885</v>
      </c>
      <c r="L5" s="254"/>
    </row>
    <row r="6" customFormat="false" ht="16.5" hidden="false" customHeight="true" outlineLevel="0" collapsed="false">
      <c r="A6" s="259" t="s">
        <v>394</v>
      </c>
      <c r="B6" s="255" t="s">
        <v>6</v>
      </c>
      <c r="C6" s="260" t="n">
        <v>10</v>
      </c>
      <c r="D6" s="256" t="n">
        <f aca="false">560/600</f>
        <v>0.933333333333333</v>
      </c>
      <c r="E6" s="220" t="n">
        <f aca="false">288/600</f>
        <v>0.48</v>
      </c>
      <c r="F6" s="211" t="n">
        <f aca="false">20/400</f>
        <v>0.05</v>
      </c>
      <c r="G6" s="211" t="n">
        <f aca="false">8/29</f>
        <v>0.275862068965517</v>
      </c>
      <c r="H6" s="211" t="n">
        <f aca="false">150/400</f>
        <v>0.375</v>
      </c>
      <c r="I6" s="250" t="n">
        <f aca="false">5/200</f>
        <v>0.025</v>
      </c>
      <c r="J6" s="172" t="n">
        <f aca="false">SUM(D6:I6)-MIN(D6:I6)</f>
        <v>2.11419540229885</v>
      </c>
      <c r="K6" s="257" t="n">
        <f aca="false">J6*1.1</f>
        <v>2.32561494252874</v>
      </c>
      <c r="L6" s="254" t="s">
        <v>103</v>
      </c>
    </row>
    <row r="7" customFormat="false" ht="16.5" hidden="false" customHeight="true" outlineLevel="0" collapsed="false">
      <c r="A7" s="259" t="s">
        <v>391</v>
      </c>
      <c r="B7" s="255" t="s">
        <v>400</v>
      </c>
      <c r="C7" s="260" t="n">
        <v>9</v>
      </c>
      <c r="D7" s="211" t="n">
        <f aca="false">280/600</f>
        <v>0.466666666666667</v>
      </c>
      <c r="E7" s="211" t="n">
        <f aca="false">88/600</f>
        <v>0.146666666666667</v>
      </c>
      <c r="F7" s="211" t="n">
        <f aca="false">160/400</f>
        <v>0.4</v>
      </c>
      <c r="G7" s="211" t="n">
        <f aca="false">8/29</f>
        <v>0.275862068965517</v>
      </c>
      <c r="H7" s="172" t="n">
        <f aca="false">200/400</f>
        <v>0.5</v>
      </c>
      <c r="I7" s="250" t="n">
        <f aca="false">5/200</f>
        <v>0.025</v>
      </c>
      <c r="J7" s="172" t="n">
        <f aca="false">SUM(D7:I7)-MIN(D7:I7)</f>
        <v>1.78919540229885</v>
      </c>
      <c r="K7" s="257" t="n">
        <f aca="false">J7*1.2</f>
        <v>2.14703448275862</v>
      </c>
      <c r="L7" s="254" t="s">
        <v>103</v>
      </c>
    </row>
    <row r="8" customFormat="false" ht="16.5" hidden="false" customHeight="true" outlineLevel="0" collapsed="false">
      <c r="A8" s="245" t="s">
        <v>389</v>
      </c>
      <c r="B8" s="255" t="s">
        <v>401</v>
      </c>
      <c r="C8" s="247" t="n">
        <v>10</v>
      </c>
      <c r="D8" s="220" t="n">
        <f aca="false">280/600</f>
        <v>0.466666666666667</v>
      </c>
      <c r="E8" s="220" t="n">
        <f aca="false">240/600</f>
        <v>0.4</v>
      </c>
      <c r="F8" s="211" t="n">
        <f aca="false">180/400</f>
        <v>0.45</v>
      </c>
      <c r="G8" s="211" t="n">
        <f aca="false">8/29</f>
        <v>0.275862068965517</v>
      </c>
      <c r="H8" s="172" t="n">
        <f aca="false">140/400</f>
        <v>0.35</v>
      </c>
      <c r="I8" s="250" t="n">
        <v>0</v>
      </c>
      <c r="J8" s="172" t="n">
        <f aca="false">SUM(D8:I8)-MIN(D8:I8)</f>
        <v>1.94252873563218</v>
      </c>
      <c r="K8" s="257" t="n">
        <f aca="false">J8*1.1</f>
        <v>2.1367816091954</v>
      </c>
      <c r="L8" s="254" t="s">
        <v>103</v>
      </c>
    </row>
    <row r="9" customFormat="false" ht="16.5" hidden="false" customHeight="true" outlineLevel="0" collapsed="false">
      <c r="A9" s="245" t="s">
        <v>385</v>
      </c>
      <c r="B9" s="247" t="n">
        <v>52</v>
      </c>
      <c r="C9" s="247" t="n">
        <v>11</v>
      </c>
      <c r="D9" s="261" t="n">
        <f aca="false">520/600</f>
        <v>0.866666666666667</v>
      </c>
      <c r="E9" s="250" t="n">
        <f aca="false">72/600</f>
        <v>0.12</v>
      </c>
      <c r="F9" s="250" t="n">
        <f aca="false">110/400</f>
        <v>0.275</v>
      </c>
      <c r="G9" s="211" t="n">
        <f aca="false">8/29</f>
        <v>0.275862068965517</v>
      </c>
      <c r="H9" s="249" t="n">
        <f aca="false">80/400</f>
        <v>0.2</v>
      </c>
      <c r="I9" s="250" t="n">
        <f aca="false">100/200</f>
        <v>0.5</v>
      </c>
      <c r="J9" s="172" t="n">
        <f aca="false">SUM(D9:I9)-MIN(D9:I9)</f>
        <v>2.11752873563218</v>
      </c>
      <c r="K9" s="253" t="n">
        <f aca="false">J9</f>
        <v>2.11752873563218</v>
      </c>
      <c r="L9" s="254"/>
    </row>
    <row r="10" customFormat="false" ht="16.5" hidden="false" customHeight="true" outlineLevel="0" collapsed="false">
      <c r="A10" s="262" t="s">
        <v>402</v>
      </c>
      <c r="B10" s="255" t="n">
        <v>197</v>
      </c>
      <c r="C10" s="263" t="n">
        <v>9</v>
      </c>
      <c r="D10" s="220" t="n">
        <v>0.333333333333333</v>
      </c>
      <c r="E10" s="220" t="n">
        <f aca="false">104/600</f>
        <v>0.173333333333333</v>
      </c>
      <c r="F10" s="250" t="n">
        <f aca="false">190/400</f>
        <v>0.475</v>
      </c>
      <c r="G10" s="211" t="n">
        <f aca="false">6/29</f>
        <v>0.206896551724138</v>
      </c>
      <c r="H10" s="172" t="n">
        <f aca="false">200/400</f>
        <v>0.5</v>
      </c>
      <c r="I10" s="251" t="n">
        <v>0</v>
      </c>
      <c r="J10" s="172" t="n">
        <f aca="false">SUM(D10:I10)-MIN(D10:I10)</f>
        <v>1.6885632183908</v>
      </c>
      <c r="K10" s="257" t="n">
        <f aca="false">J10*1.2</f>
        <v>2.02627586206897</v>
      </c>
      <c r="L10" s="254"/>
    </row>
    <row r="11" customFormat="false" ht="16.5" hidden="false" customHeight="true" outlineLevel="0" collapsed="false">
      <c r="A11" s="259" t="s">
        <v>403</v>
      </c>
      <c r="B11" s="255" t="s">
        <v>6</v>
      </c>
      <c r="C11" s="260" t="n">
        <v>10</v>
      </c>
      <c r="D11" s="220" t="n">
        <f aca="false">440/600</f>
        <v>0.733333333333333</v>
      </c>
      <c r="E11" s="220" t="n">
        <f aca="false">76/600</f>
        <v>0.126666666666667</v>
      </c>
      <c r="F11" s="211" t="n">
        <f aca="false">240/400</f>
        <v>0.6</v>
      </c>
      <c r="G11" s="211" t="n">
        <f aca="false">6/29</f>
        <v>0.206896551724138</v>
      </c>
      <c r="H11" s="211" t="n">
        <f aca="false">70/400</f>
        <v>0.175</v>
      </c>
      <c r="I11" s="251" t="n">
        <v>0</v>
      </c>
      <c r="J11" s="172" t="n">
        <f aca="false">SUM(D11:I11)-MIN(D11:I11)</f>
        <v>1.84189655172414</v>
      </c>
      <c r="K11" s="257" t="n">
        <f aca="false">J11*1.1</f>
        <v>2.02608620689655</v>
      </c>
      <c r="L11" s="254"/>
    </row>
    <row r="12" customFormat="false" ht="16.5" hidden="false" customHeight="true" outlineLevel="0" collapsed="false">
      <c r="A12" s="259" t="s">
        <v>372</v>
      </c>
      <c r="B12" s="264" t="s">
        <v>6</v>
      </c>
      <c r="C12" s="265" t="n">
        <v>11</v>
      </c>
      <c r="D12" s="266" t="n">
        <f aca="false">420/600</f>
        <v>0.7</v>
      </c>
      <c r="E12" s="266" t="n">
        <f aca="false">216/600</f>
        <v>0.36</v>
      </c>
      <c r="F12" s="266" t="n">
        <f aca="false">90/400</f>
        <v>0.225</v>
      </c>
      <c r="G12" s="211" t="n">
        <f aca="false">8/29</f>
        <v>0.275862068965517</v>
      </c>
      <c r="H12" s="267" t="n">
        <f aca="false">170/400</f>
        <v>0.425</v>
      </c>
      <c r="I12" s="266" t="n">
        <f aca="false">20/200</f>
        <v>0.1</v>
      </c>
      <c r="J12" s="268" t="n">
        <f aca="false">SUM(D12:I12)-MIN(D12:I12)</f>
        <v>1.98586206896552</v>
      </c>
      <c r="K12" s="269" t="n">
        <f aca="false">J12</f>
        <v>1.98586206896552</v>
      </c>
      <c r="L12" s="270" t="s">
        <v>103</v>
      </c>
    </row>
    <row r="13" customFormat="false" ht="16.5" hidden="false" customHeight="true" outlineLevel="0" collapsed="false">
      <c r="A13" s="245" t="s">
        <v>404</v>
      </c>
      <c r="B13" s="255" t="n">
        <v>171</v>
      </c>
      <c r="C13" s="247" t="n">
        <v>10</v>
      </c>
      <c r="D13" s="211" t="n">
        <f aca="false">275/600</f>
        <v>0.458333333333333</v>
      </c>
      <c r="E13" s="211" t="n">
        <f aca="false">104/600</f>
        <v>0.173333333333333</v>
      </c>
      <c r="F13" s="211" t="n">
        <f aca="false">210/400</f>
        <v>0.525</v>
      </c>
      <c r="G13" s="211" t="n">
        <f aca="false">4/29</f>
        <v>0.137931034482759</v>
      </c>
      <c r="H13" s="211" t="n">
        <f aca="false">130/400</f>
        <v>0.325</v>
      </c>
      <c r="I13" s="250" t="n">
        <v>0</v>
      </c>
      <c r="J13" s="211" t="n">
        <f aca="false">SUM(D13:I13)-MIN(D13:I13)</f>
        <v>1.61959770114943</v>
      </c>
      <c r="K13" s="211" t="n">
        <f aca="false">J13*1.1</f>
        <v>1.78155747126437</v>
      </c>
      <c r="L13" s="254"/>
    </row>
    <row r="14" customFormat="false" ht="16.5" hidden="false" customHeight="true" outlineLevel="0" collapsed="false">
      <c r="A14" s="245" t="s">
        <v>405</v>
      </c>
      <c r="B14" s="247" t="n">
        <v>178</v>
      </c>
      <c r="C14" s="247" t="n">
        <v>10</v>
      </c>
      <c r="D14" s="220" t="n">
        <f aca="false">400/600</f>
        <v>0.666666666666667</v>
      </c>
      <c r="E14" s="220" t="n">
        <f aca="false">24/600</f>
        <v>0.04</v>
      </c>
      <c r="F14" s="211" t="n">
        <f aca="false">130/400</f>
        <v>0.325</v>
      </c>
      <c r="G14" s="211" t="n">
        <f aca="false">8/29</f>
        <v>0.275862068965517</v>
      </c>
      <c r="H14" s="211" t="n">
        <f aca="false">50/400</f>
        <v>0.125</v>
      </c>
      <c r="I14" s="250" t="n">
        <v>0</v>
      </c>
      <c r="J14" s="211" t="n">
        <f aca="false">SUM(D14:I14)-MIN(D14:I14)</f>
        <v>1.43252873563218</v>
      </c>
      <c r="K14" s="257" t="n">
        <f aca="false">J14*1.1</f>
        <v>1.5757816091954</v>
      </c>
      <c r="L14" s="254"/>
    </row>
    <row r="15" customFormat="false" ht="16.5" hidden="false" customHeight="true" outlineLevel="0" collapsed="false">
      <c r="A15" s="259" t="s">
        <v>406</v>
      </c>
      <c r="B15" s="255" t="s">
        <v>407</v>
      </c>
      <c r="C15" s="260" t="n">
        <v>10</v>
      </c>
      <c r="D15" s="211" t="n">
        <f aca="false">320/600</f>
        <v>0.533333333333333</v>
      </c>
      <c r="E15" s="211" t="n">
        <f aca="false">64/600</f>
        <v>0.106666666666667</v>
      </c>
      <c r="F15" s="211" t="n">
        <f aca="false">140/400</f>
        <v>0.35</v>
      </c>
      <c r="G15" s="211" t="n">
        <f aca="false">1/29</f>
        <v>0.0344827586206897</v>
      </c>
      <c r="H15" s="211" t="n">
        <f aca="false">140/400</f>
        <v>0.35</v>
      </c>
      <c r="I15" s="250" t="n">
        <v>0</v>
      </c>
      <c r="J15" s="211" t="n">
        <f aca="false">SUM(D15:I15)-MIN(D15:I15)</f>
        <v>1.37448275862069</v>
      </c>
      <c r="K15" s="257" t="n">
        <f aca="false">J15*1.1</f>
        <v>1.51193103448276</v>
      </c>
      <c r="L15" s="254"/>
    </row>
    <row r="16" customFormat="false" ht="16.5" hidden="false" customHeight="true" outlineLevel="0" collapsed="false">
      <c r="A16" s="259" t="s">
        <v>408</v>
      </c>
      <c r="B16" s="255" t="s">
        <v>6</v>
      </c>
      <c r="C16" s="260" t="n">
        <v>10</v>
      </c>
      <c r="D16" s="211" t="n">
        <f aca="false">380/600</f>
        <v>0.633333333333333</v>
      </c>
      <c r="E16" s="211" t="n">
        <f aca="false">48/600</f>
        <v>0.08</v>
      </c>
      <c r="F16" s="211" t="n">
        <f aca="false">190/400</f>
        <v>0.475</v>
      </c>
      <c r="G16" s="250" t="n">
        <v>0</v>
      </c>
      <c r="H16" s="211" t="n">
        <f aca="false">50/400</f>
        <v>0.125</v>
      </c>
      <c r="I16" s="211" t="n">
        <f aca="false">10/200</f>
        <v>0.05</v>
      </c>
      <c r="J16" s="211" t="n">
        <f aca="false">SUM(D16:I16)-MIN(D16:I16)</f>
        <v>1.36333333333333</v>
      </c>
      <c r="K16" s="257" t="n">
        <f aca="false">J16*1.1</f>
        <v>1.49966666666667</v>
      </c>
      <c r="L16" s="254"/>
    </row>
    <row r="17" customFormat="false" ht="16.5" hidden="false" customHeight="true" outlineLevel="0" collapsed="false">
      <c r="A17" s="259" t="s">
        <v>409</v>
      </c>
      <c r="B17" s="255" t="s">
        <v>6</v>
      </c>
      <c r="C17" s="260" t="n">
        <v>10</v>
      </c>
      <c r="D17" s="260" t="n">
        <f aca="false">300/600</f>
        <v>0.5</v>
      </c>
      <c r="E17" s="249" t="n">
        <f aca="false">104/600</f>
        <v>0.173333333333333</v>
      </c>
      <c r="F17" s="250" t="n">
        <f aca="false">100/400</f>
        <v>0.25</v>
      </c>
      <c r="G17" s="211" t="n">
        <f aca="false">8/29</f>
        <v>0.275862068965517</v>
      </c>
      <c r="H17" s="249" t="n">
        <f aca="false">30/400</f>
        <v>0.075</v>
      </c>
      <c r="I17" s="250" t="n">
        <v>0</v>
      </c>
      <c r="J17" s="211" t="n">
        <f aca="false">SUM(D17:I17)-MIN(D17:I17)</f>
        <v>1.27419540229885</v>
      </c>
      <c r="K17" s="257" t="n">
        <f aca="false">J17*1.1</f>
        <v>1.40161494252874</v>
      </c>
      <c r="L17" s="254"/>
    </row>
    <row r="18" customFormat="false" ht="16.5" hidden="false" customHeight="true" outlineLevel="0" collapsed="false">
      <c r="A18" s="259" t="s">
        <v>410</v>
      </c>
      <c r="B18" s="255" t="s">
        <v>6</v>
      </c>
      <c r="C18" s="260" t="n">
        <v>9</v>
      </c>
      <c r="D18" s="211" t="n">
        <f aca="false">200/600</f>
        <v>0.333333333333333</v>
      </c>
      <c r="E18" s="211" t="n">
        <f aca="false">56/600</f>
        <v>0.0933333333333333</v>
      </c>
      <c r="F18" s="211" t="n">
        <f aca="false">5/400</f>
        <v>0.0125</v>
      </c>
      <c r="G18" s="250" t="n">
        <v>0</v>
      </c>
      <c r="H18" s="225" t="n">
        <f aca="false">140/400</f>
        <v>0.35</v>
      </c>
      <c r="I18" s="250" t="n">
        <v>0</v>
      </c>
      <c r="J18" s="211" t="n">
        <f aca="false">SUM(D18:I18)-MIN(D18:I18)</f>
        <v>0.789166666666667</v>
      </c>
      <c r="K18" s="257" t="n">
        <f aca="false">J18*1.2</f>
        <v>0.947</v>
      </c>
      <c r="L18" s="254"/>
    </row>
    <row r="19" customFormat="false" ht="16.5" hidden="false" customHeight="true" outlineLevel="0" collapsed="false">
      <c r="A19" s="259" t="s">
        <v>411</v>
      </c>
      <c r="B19" s="255" t="s">
        <v>6</v>
      </c>
      <c r="C19" s="260" t="n">
        <v>8</v>
      </c>
      <c r="D19" s="211" t="n">
        <f aca="false">290/600</f>
        <v>0.483333333333333</v>
      </c>
      <c r="E19" s="211" t="n">
        <f aca="false">28/600</f>
        <v>0.0466666666666667</v>
      </c>
      <c r="F19" s="250" t="n">
        <v>0</v>
      </c>
      <c r="G19" s="211" t="n">
        <f aca="false">4/29</f>
        <v>0.137931034482759</v>
      </c>
      <c r="H19" s="225" t="n">
        <f aca="false">30/400</f>
        <v>0.075</v>
      </c>
      <c r="I19" s="250" t="n">
        <f aca="false">5/200</f>
        <v>0.025</v>
      </c>
      <c r="J19" s="211" t="n">
        <f aca="false">SUM(D19:I19)-MIN(D19:I19)</f>
        <v>0.767931034482759</v>
      </c>
      <c r="K19" s="257" t="n">
        <f aca="false">J19*1.2</f>
        <v>0.92151724137931</v>
      </c>
      <c r="L19" s="254"/>
    </row>
    <row r="20" customFormat="false" ht="16.5" hidden="false" customHeight="true" outlineLevel="0" collapsed="false">
      <c r="A20" s="271"/>
      <c r="B20" s="272"/>
      <c r="C20" s="273"/>
      <c r="D20" s="273"/>
      <c r="E20" s="120"/>
      <c r="F20" s="120"/>
      <c r="G20" s="120"/>
      <c r="H20" s="235"/>
      <c r="I20" s="235"/>
      <c r="J20" s="274"/>
      <c r="K20" s="120"/>
    </row>
    <row r="21" customFormat="false" ht="16.5" hidden="false" customHeight="true" outlineLevel="0" collapsed="false">
      <c r="A21" s="118"/>
      <c r="B21" s="202"/>
      <c r="C21" s="202"/>
      <c r="D21" s="202"/>
      <c r="E21" s="202"/>
      <c r="F21" s="202"/>
      <c r="G21" s="202"/>
      <c r="H21" s="202"/>
      <c r="I21" s="202"/>
      <c r="J21" s="202"/>
      <c r="K21" s="202"/>
    </row>
    <row r="22" customFormat="false" ht="16.5" hidden="false" customHeight="true" outlineLevel="0" collapsed="false">
      <c r="A22" s="118"/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customFormat="false" ht="16.5" hidden="false" customHeight="true" outlineLevel="0" collapsed="false">
      <c r="A23" s="118"/>
      <c r="B23" s="202"/>
      <c r="C23" s="202"/>
      <c r="D23" s="202"/>
      <c r="E23" s="202"/>
      <c r="F23" s="202"/>
      <c r="G23" s="202"/>
      <c r="H23" s="202"/>
      <c r="I23" s="202"/>
      <c r="J23" s="202"/>
      <c r="K23" s="202"/>
    </row>
    <row r="24" customFormat="false" ht="16.5" hidden="false" customHeight="true" outlineLevel="0" collapsed="false">
      <c r="A24" s="118"/>
      <c r="B24" s="202"/>
      <c r="C24" s="202"/>
      <c r="D24" s="202"/>
      <c r="E24" s="202"/>
      <c r="F24" s="202"/>
      <c r="G24" s="202"/>
      <c r="H24" s="202"/>
      <c r="I24" s="202"/>
      <c r="J24" s="202"/>
      <c r="K24" s="202"/>
    </row>
  </sheetData>
  <autoFilter ref="A1:L19">
    <sortState ref="A2:L19">
      <sortCondition ref="A2:A19" descending="1" customList=""/>
    </sortState>
  </autoFilter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3" activeCellId="0" sqref="N13"/>
    </sheetView>
  </sheetViews>
  <sheetFormatPr defaultColWidth="8.6875" defaultRowHeight="16.5" zeroHeight="false" outlineLevelRow="0" outlineLevelCol="0"/>
  <cols>
    <col collapsed="false" customWidth="true" hidden="false" outlineLevel="0" max="1" min="1" style="0" width="34.14"/>
    <col collapsed="false" customWidth="true" hidden="false" outlineLevel="0" max="2" min="2" style="237" width="3.99"/>
    <col collapsed="false" customWidth="true" hidden="false" outlineLevel="0" max="3" min="3" style="237" width="3.86"/>
    <col collapsed="false" customWidth="true" hidden="false" outlineLevel="0" max="12" min="4" style="0" width="6.71"/>
    <col collapsed="false" customWidth="true" hidden="false" outlineLevel="0" max="15" min="14" style="0" width="6.71"/>
  </cols>
  <sheetData>
    <row r="1" customFormat="false" ht="45" hidden="false" customHeight="true" outlineLevel="0" collapsed="false">
      <c r="A1" s="158" t="s">
        <v>119</v>
      </c>
      <c r="B1" s="203" t="s">
        <v>2</v>
      </c>
      <c r="C1" s="204" t="s">
        <v>1</v>
      </c>
      <c r="D1" s="275" t="s">
        <v>351</v>
      </c>
      <c r="E1" s="275" t="s">
        <v>352</v>
      </c>
      <c r="F1" s="276" t="s">
        <v>326</v>
      </c>
      <c r="G1" s="277" t="s">
        <v>412</v>
      </c>
      <c r="H1" s="244" t="s">
        <v>413</v>
      </c>
      <c r="I1" s="244" t="s">
        <v>414</v>
      </c>
      <c r="J1" s="244" t="s">
        <v>415</v>
      </c>
      <c r="K1" s="244" t="s">
        <v>416</v>
      </c>
      <c r="L1" s="244" t="s">
        <v>417</v>
      </c>
      <c r="M1" s="244" t="s">
        <v>418</v>
      </c>
      <c r="N1" s="170" t="s">
        <v>397</v>
      </c>
      <c r="O1" s="161" t="s">
        <v>3</v>
      </c>
      <c r="P1" s="244" t="s">
        <v>4</v>
      </c>
    </row>
    <row r="2" customFormat="false" ht="16.5" hidden="false" customHeight="true" outlineLevel="0" collapsed="false">
      <c r="A2" s="278" t="s">
        <v>388</v>
      </c>
      <c r="B2" s="246" t="n">
        <v>171</v>
      </c>
      <c r="C2" s="263" t="n">
        <v>10</v>
      </c>
      <c r="D2" s="279" t="n">
        <f aca="false">510/600</f>
        <v>0.85</v>
      </c>
      <c r="E2" s="280" t="n">
        <f aca="false">386/600</f>
        <v>0.643333333333333</v>
      </c>
      <c r="F2" s="280" t="n">
        <f aca="false">42/82</f>
        <v>0.51219512195122</v>
      </c>
      <c r="G2" s="211" t="n">
        <f aca="false">18/47</f>
        <v>0.382978723404255</v>
      </c>
      <c r="H2" s="211" t="n">
        <f aca="false">24/51</f>
        <v>0.470588235294118</v>
      </c>
      <c r="I2" s="211" t="n">
        <f aca="false">110/200</f>
        <v>0.55</v>
      </c>
      <c r="J2" s="240" t="n">
        <f aca="false">170/200</f>
        <v>0.85</v>
      </c>
      <c r="K2" s="211" t="n">
        <f aca="false">140/200</f>
        <v>0.7</v>
      </c>
      <c r="L2" s="280" t="n">
        <f aca="false">440/600</f>
        <v>0.733333333333333</v>
      </c>
      <c r="M2" s="280" t="n">
        <f aca="false">88/200</f>
        <v>0.44</v>
      </c>
      <c r="N2" s="221" t="n">
        <f aca="false">SUM(D2:M2)-MIN(D2:M2)</f>
        <v>5.749450023912</v>
      </c>
      <c r="O2" s="253" t="n">
        <f aca="false">N2*1.1</f>
        <v>6.32439502630321</v>
      </c>
      <c r="P2" s="281" t="s">
        <v>103</v>
      </c>
    </row>
    <row r="3" customFormat="false" ht="16.5" hidden="false" customHeight="true" outlineLevel="0" collapsed="false">
      <c r="A3" s="282" t="s">
        <v>391</v>
      </c>
      <c r="B3" s="246" t="s">
        <v>400</v>
      </c>
      <c r="C3" s="260" t="n">
        <v>10</v>
      </c>
      <c r="D3" s="279" t="n">
        <f aca="false">570/600</f>
        <v>0.95</v>
      </c>
      <c r="E3" s="279" t="n">
        <f aca="false">474/600</f>
        <v>0.79</v>
      </c>
      <c r="F3" s="280" t="n">
        <f aca="false">20/82</f>
        <v>0.24390243902439</v>
      </c>
      <c r="G3" s="211" t="n">
        <f aca="false">3/47</f>
        <v>0.0638297872340425</v>
      </c>
      <c r="H3" s="211" t="n">
        <f aca="false">31/51</f>
        <v>0.607843137254902</v>
      </c>
      <c r="I3" s="211" t="n">
        <f aca="false">105/200</f>
        <v>0.525</v>
      </c>
      <c r="J3" s="211" t="n">
        <f aca="false">110/200</f>
        <v>0.55</v>
      </c>
      <c r="K3" s="211" t="n">
        <f aca="false">30/200</f>
        <v>0.15</v>
      </c>
      <c r="L3" s="279" t="n">
        <f aca="false">592/600</f>
        <v>0.986666666666667</v>
      </c>
      <c r="M3" s="280" t="n">
        <f aca="false">4/200</f>
        <v>0.02</v>
      </c>
      <c r="N3" s="221" t="n">
        <f aca="false">SUM(D3:M3)-MIN(D3:M3)</f>
        <v>4.86724203018</v>
      </c>
      <c r="O3" s="253" t="n">
        <f aca="false">N3*1.1</f>
        <v>5.353966233198</v>
      </c>
      <c r="P3" s="281" t="s">
        <v>103</v>
      </c>
    </row>
    <row r="4" customFormat="false" ht="16.5" hidden="false" customHeight="true" outlineLevel="0" collapsed="false">
      <c r="A4" s="283" t="s">
        <v>394</v>
      </c>
      <c r="B4" s="246" t="s">
        <v>6</v>
      </c>
      <c r="C4" s="246" t="n">
        <v>11</v>
      </c>
      <c r="D4" s="279" t="n">
        <f aca="false">550/600</f>
        <v>0.916666666666667</v>
      </c>
      <c r="E4" s="280" t="n">
        <f aca="false">340/600</f>
        <v>0.566666666666667</v>
      </c>
      <c r="F4" s="280" t="n">
        <f aca="false">40/82</f>
        <v>0.487804878048781</v>
      </c>
      <c r="G4" s="211" t="n">
        <f aca="false">10/47</f>
        <v>0.212765957446808</v>
      </c>
      <c r="H4" s="211" t="n">
        <f aca="false">24/51</f>
        <v>0.470588235294118</v>
      </c>
      <c r="I4" s="211" t="n">
        <f aca="false">130/200</f>
        <v>0.65</v>
      </c>
      <c r="J4" s="211" t="n">
        <f aca="false">145/200</f>
        <v>0.725</v>
      </c>
      <c r="K4" s="212" t="n">
        <v>0</v>
      </c>
      <c r="L4" s="280" t="n">
        <f aca="false">228/600</f>
        <v>0.38</v>
      </c>
      <c r="M4" s="280" t="n">
        <f aca="false">45/200</f>
        <v>0.225</v>
      </c>
      <c r="N4" s="221" t="n">
        <f aca="false">SUM(D4:M4)-MIN(D4:M4)</f>
        <v>4.63449240412304</v>
      </c>
      <c r="O4" s="253" t="n">
        <f aca="false">N4</f>
        <v>4.63449240412304</v>
      </c>
      <c r="P4" s="281" t="s">
        <v>103</v>
      </c>
    </row>
    <row r="5" customFormat="false" ht="16.5" hidden="false" customHeight="true" outlineLevel="0" collapsed="false">
      <c r="A5" s="278" t="s">
        <v>389</v>
      </c>
      <c r="B5" s="246" t="s">
        <v>401</v>
      </c>
      <c r="C5" s="263" t="n">
        <v>11</v>
      </c>
      <c r="D5" s="279" t="n">
        <f aca="false">550/600</f>
        <v>0.916666666666667</v>
      </c>
      <c r="E5" s="280" t="n">
        <f aca="false">236/600</f>
        <v>0.393333333333333</v>
      </c>
      <c r="F5" s="280" t="n">
        <f aca="false">52/82</f>
        <v>0.634146341463415</v>
      </c>
      <c r="G5" s="211" t="n">
        <f aca="false">23/47</f>
        <v>0.48936170212766</v>
      </c>
      <c r="H5" s="211" t="n">
        <f aca="false">20/51</f>
        <v>0.392156862745098</v>
      </c>
      <c r="I5" s="211" t="n">
        <f aca="false">115/200</f>
        <v>0.575</v>
      </c>
      <c r="J5" s="211" t="n">
        <f aca="false">110/200</f>
        <v>0.55</v>
      </c>
      <c r="K5" s="284" t="n">
        <v>0</v>
      </c>
      <c r="L5" s="280" t="n">
        <f aca="false">252/600</f>
        <v>0.42</v>
      </c>
      <c r="M5" s="280" t="n">
        <f aca="false">52/200</f>
        <v>0.26</v>
      </c>
      <c r="N5" s="221" t="n">
        <f aca="false">SUM(D5:M5)-MIN(D5:M5)</f>
        <v>4.63066490633617</v>
      </c>
      <c r="O5" s="253" t="n">
        <f aca="false">N5</f>
        <v>4.63066490633617</v>
      </c>
      <c r="P5" s="281" t="s">
        <v>103</v>
      </c>
    </row>
    <row r="6" customFormat="false" ht="16.5" hidden="false" customHeight="true" outlineLevel="0" collapsed="false">
      <c r="A6" s="285" t="s">
        <v>402</v>
      </c>
      <c r="B6" s="246" t="s">
        <v>146</v>
      </c>
      <c r="C6" s="229" t="n">
        <v>10</v>
      </c>
      <c r="D6" s="280" t="n">
        <f aca="false">350/600</f>
        <v>0.583333333333333</v>
      </c>
      <c r="E6" s="280" t="n">
        <f aca="false">236/600</f>
        <v>0.393333333333333</v>
      </c>
      <c r="F6" s="280" t="n">
        <f aca="false">36/82</f>
        <v>0.439024390243902</v>
      </c>
      <c r="G6" s="211" t="n">
        <f aca="false">9/47</f>
        <v>0.191489361702128</v>
      </c>
      <c r="H6" s="211" t="n">
        <f aca="false">1/51</f>
        <v>0.0196078431372549</v>
      </c>
      <c r="I6" s="211" t="n">
        <f aca="false">20/200</f>
        <v>0.1</v>
      </c>
      <c r="J6" s="211" t="n">
        <f aca="false">15/200</f>
        <v>0.075</v>
      </c>
      <c r="K6" s="211" t="n">
        <f aca="false">85/200</f>
        <v>0.425</v>
      </c>
      <c r="L6" s="280" t="n">
        <f aca="false">248/600</f>
        <v>0.413333333333333</v>
      </c>
      <c r="M6" s="280" t="n">
        <f aca="false">38/200</f>
        <v>0.19</v>
      </c>
      <c r="N6" s="221" t="n">
        <f aca="false">SUM(D6:M6)-MIN(D6:M6)</f>
        <v>2.81051375194603</v>
      </c>
      <c r="O6" s="253" t="n">
        <f aca="false">N6*1.1</f>
        <v>3.09156512714063</v>
      </c>
      <c r="P6" s="281" t="s">
        <v>103</v>
      </c>
    </row>
    <row r="7" customFormat="false" ht="16.5" hidden="false" customHeight="true" outlineLevel="0" collapsed="false">
      <c r="A7" s="286" t="s">
        <v>409</v>
      </c>
      <c r="B7" s="246" t="s">
        <v>6</v>
      </c>
      <c r="C7" s="246" t="n">
        <v>11</v>
      </c>
      <c r="D7" s="279" t="n">
        <f aca="false">450/600</f>
        <v>0.75</v>
      </c>
      <c r="E7" s="280" t="n">
        <f aca="false">216/600</f>
        <v>0.36</v>
      </c>
      <c r="F7" s="280" t="n">
        <f aca="false">20/82</f>
        <v>0.24390243902439</v>
      </c>
      <c r="G7" s="211" t="n">
        <f aca="false">13/47</f>
        <v>0.276595744680851</v>
      </c>
      <c r="H7" s="211" t="n">
        <f aca="false">9/51</f>
        <v>0.176470588235294</v>
      </c>
      <c r="I7" s="211" t="n">
        <f aca="false">45/200</f>
        <v>0.225</v>
      </c>
      <c r="J7" s="211" t="n">
        <f aca="false">15/200</f>
        <v>0.075</v>
      </c>
      <c r="K7" s="284" t="n">
        <v>0</v>
      </c>
      <c r="L7" s="280" t="n">
        <f aca="false">190/600</f>
        <v>0.316666666666667</v>
      </c>
      <c r="M7" s="284" t="n">
        <v>0</v>
      </c>
      <c r="N7" s="221" t="n">
        <f aca="false">SUM(D7:M7)-MIN(D7:M7)</f>
        <v>2.4236354386072</v>
      </c>
      <c r="O7" s="253" t="n">
        <f aca="false">N7</f>
        <v>2.4236354386072</v>
      </c>
      <c r="P7" s="287" t="s">
        <v>419</v>
      </c>
    </row>
    <row r="8" customFormat="false" ht="16.5" hidden="false" customHeight="true" outlineLevel="0" collapsed="false">
      <c r="A8" s="262" t="s">
        <v>420</v>
      </c>
      <c r="B8" s="246" t="s">
        <v>421</v>
      </c>
      <c r="C8" s="263" t="n">
        <v>10</v>
      </c>
      <c r="D8" s="280" t="n">
        <f aca="false">140/600</f>
        <v>0.233333333333333</v>
      </c>
      <c r="E8" s="279" t="n">
        <f aca="false">450/600</f>
        <v>0.75</v>
      </c>
      <c r="F8" s="280" t="n">
        <f aca="false">38/82</f>
        <v>0.463414634146341</v>
      </c>
      <c r="G8" s="211" t="n">
        <f aca="false">13/47</f>
        <v>0.276595744680851</v>
      </c>
      <c r="H8" s="284" t="n">
        <v>0</v>
      </c>
      <c r="I8" s="211" t="n">
        <f aca="false">30/200</f>
        <v>0.15</v>
      </c>
      <c r="J8" s="284" t="n">
        <v>0</v>
      </c>
      <c r="K8" s="212" t="n">
        <v>0</v>
      </c>
      <c r="L8" s="280" t="n">
        <f aca="false">150/600</f>
        <v>0.25</v>
      </c>
      <c r="M8" s="212" t="n">
        <v>0</v>
      </c>
      <c r="N8" s="221" t="n">
        <f aca="false">SUM(D8:M8)-MIN(D8:M8)</f>
        <v>2.12334371216053</v>
      </c>
      <c r="O8" s="253" t="n">
        <f aca="false">N8*1.1</f>
        <v>2.33567808337658</v>
      </c>
      <c r="P8" s="254"/>
    </row>
    <row r="9" customFormat="false" ht="16.5" hidden="false" customHeight="true" outlineLevel="0" collapsed="false">
      <c r="A9" s="288" t="s">
        <v>422</v>
      </c>
      <c r="B9" s="250" t="n">
        <v>182</v>
      </c>
      <c r="C9" s="250" t="n">
        <v>9</v>
      </c>
      <c r="D9" s="249" t="n">
        <f aca="false">300/600</f>
        <v>0.5</v>
      </c>
      <c r="E9" s="249" t="n">
        <f aca="false">118/600</f>
        <v>0.196666666666667</v>
      </c>
      <c r="F9" s="249"/>
      <c r="G9" s="249"/>
      <c r="H9" s="249"/>
      <c r="I9" s="249"/>
      <c r="J9" s="249"/>
      <c r="K9" s="274" t="n">
        <f aca="false">110/200</f>
        <v>0.55</v>
      </c>
      <c r="L9" s="280" t="n">
        <f aca="false">338/600</f>
        <v>0.563333333333333</v>
      </c>
      <c r="M9" s="280" t="n">
        <f aca="false">200/300</f>
        <v>0.666666666666667</v>
      </c>
      <c r="N9" s="221" t="n">
        <f aca="false">SUM(D9:M9)-MIN(D9:M9)</f>
        <v>2.28</v>
      </c>
      <c r="O9" s="253" t="n">
        <f aca="false">N9</f>
        <v>2.28</v>
      </c>
      <c r="P9" s="281" t="s">
        <v>103</v>
      </c>
    </row>
    <row r="10" customFormat="false" ht="16.5" hidden="false" customHeight="true" outlineLevel="0" collapsed="false">
      <c r="A10" s="262" t="s">
        <v>377</v>
      </c>
      <c r="B10" s="246" t="n">
        <v>171</v>
      </c>
      <c r="C10" s="246" t="n">
        <v>11</v>
      </c>
      <c r="D10" s="280" t="n">
        <f aca="false">170/600</f>
        <v>0.283333333333333</v>
      </c>
      <c r="E10" s="280" t="n">
        <f aca="false">196/600</f>
        <v>0.326666666666667</v>
      </c>
      <c r="F10" s="280" t="n">
        <f aca="false">9/82</f>
        <v>0.109756097560976</v>
      </c>
      <c r="G10" s="211" t="n">
        <f aca="false">10/47</f>
        <v>0.212765957446808</v>
      </c>
      <c r="H10" s="211" t="n">
        <f aca="false">11/51</f>
        <v>0.215686274509804</v>
      </c>
      <c r="I10" s="211" t="n">
        <f aca="false">10/200</f>
        <v>0.05</v>
      </c>
      <c r="J10" s="284" t="n">
        <v>0</v>
      </c>
      <c r="K10" s="211" t="n">
        <f aca="false">40/200</f>
        <v>0.2</v>
      </c>
      <c r="L10" s="280" t="n">
        <f aca="false">204/600</f>
        <v>0.34</v>
      </c>
      <c r="M10" s="280" t="n">
        <f aca="false">38/200</f>
        <v>0.19</v>
      </c>
      <c r="N10" s="221" t="n">
        <f aca="false">SUM(D10:M10)-MIN(D10:M10)</f>
        <v>1.92820832951759</v>
      </c>
      <c r="O10" s="253" t="n">
        <f aca="false">N10</f>
        <v>1.92820832951759</v>
      </c>
      <c r="P10" s="254"/>
    </row>
    <row r="11" customFormat="false" ht="16.5" hidden="false" customHeight="true" outlineLevel="0" collapsed="false">
      <c r="A11" s="262" t="s">
        <v>423</v>
      </c>
      <c r="B11" s="246" t="n">
        <v>145</v>
      </c>
      <c r="C11" s="263" t="n">
        <v>11</v>
      </c>
      <c r="D11" s="280" t="n">
        <f aca="false">240/600</f>
        <v>0.4</v>
      </c>
      <c r="E11" s="280" t="n">
        <f aca="false">120/600</f>
        <v>0.2</v>
      </c>
      <c r="F11" s="280" t="n">
        <f aca="false">2/82</f>
        <v>0.024390243902439</v>
      </c>
      <c r="G11" s="211" t="n">
        <f aca="false">9/47</f>
        <v>0.191489361702128</v>
      </c>
      <c r="H11" s="211" t="n">
        <f aca="false">12/51</f>
        <v>0.235294117647059</v>
      </c>
      <c r="I11" s="284" t="n">
        <v>0</v>
      </c>
      <c r="J11" s="211" t="n">
        <f aca="false">10/200</f>
        <v>0.05</v>
      </c>
      <c r="K11" s="274" t="n">
        <f aca="false">30/200</f>
        <v>0.15</v>
      </c>
      <c r="L11" s="280" t="n">
        <f aca="false">66/600</f>
        <v>0.11</v>
      </c>
      <c r="M11" s="280" t="n">
        <f aca="false">28/200</f>
        <v>0.14</v>
      </c>
      <c r="N11" s="289" t="n">
        <f aca="false">SUM(D11:M11)-MIN(D11:M11)</f>
        <v>1.50117372325163</v>
      </c>
      <c r="O11" s="253" t="n">
        <f aca="false">N11</f>
        <v>1.50117372325163</v>
      </c>
      <c r="P11" s="270"/>
    </row>
    <row r="12" customFormat="false" ht="16.5" hidden="false" customHeight="true" outlineLevel="0" collapsed="false">
      <c r="A12" s="259" t="s">
        <v>424</v>
      </c>
      <c r="B12" s="246" t="n">
        <v>178</v>
      </c>
      <c r="C12" s="290" t="n">
        <v>11</v>
      </c>
      <c r="D12" s="280" t="n">
        <f aca="false">420/600</f>
        <v>0.7</v>
      </c>
      <c r="E12" s="280" t="n">
        <f aca="false">236/600</f>
        <v>0.393333333333333</v>
      </c>
      <c r="F12" s="280" t="n">
        <f aca="false">12/82</f>
        <v>0.146341463414634</v>
      </c>
      <c r="G12" s="211" t="n">
        <f aca="false">4/47</f>
        <v>0.0851063829787234</v>
      </c>
      <c r="H12" s="211" t="n">
        <f aca="false">1/51</f>
        <v>0.0196078431372549</v>
      </c>
      <c r="I12" s="284" t="n">
        <v>0</v>
      </c>
      <c r="J12" s="211" t="n">
        <f aca="false">10/200</f>
        <v>0.05</v>
      </c>
      <c r="K12" s="284" t="n">
        <v>0</v>
      </c>
      <c r="L12" s="284" t="n">
        <v>0</v>
      </c>
      <c r="M12" s="280" t="n">
        <f aca="false">2/200</f>
        <v>0.01</v>
      </c>
      <c r="N12" s="291" t="n">
        <f aca="false">SUM(D12:M12)-MIN(D12:M12)</f>
        <v>1.40438902286395</v>
      </c>
      <c r="O12" s="253" t="n">
        <f aca="false">N12</f>
        <v>1.40438902286395</v>
      </c>
      <c r="P12" s="254"/>
    </row>
    <row r="13" customFormat="false" ht="16.5" hidden="false" customHeight="true" outlineLevel="0" collapsed="false">
      <c r="A13" s="283" t="s">
        <v>425</v>
      </c>
      <c r="B13" s="255" t="s">
        <v>6</v>
      </c>
      <c r="C13" s="246" t="n">
        <v>9</v>
      </c>
      <c r="D13" s="280" t="n">
        <f aca="false">130/600</f>
        <v>0.216666666666667</v>
      </c>
      <c r="E13" s="280" t="n">
        <f aca="false">166/600</f>
        <v>0.276666666666667</v>
      </c>
      <c r="F13" s="249"/>
      <c r="G13" s="249"/>
      <c r="H13" s="249"/>
      <c r="I13" s="249"/>
      <c r="J13" s="249"/>
      <c r="K13" s="211" t="n">
        <f aca="false">80/200</f>
        <v>0.4</v>
      </c>
      <c r="L13" s="284" t="n">
        <v>0</v>
      </c>
      <c r="M13" s="280" t="n">
        <f aca="false">150/300</f>
        <v>0.5</v>
      </c>
      <c r="N13" s="291" t="n">
        <f aca="false">SUM(D13:M13)-MIN(D13:M13)</f>
        <v>1.39333333333333</v>
      </c>
      <c r="O13" s="253" t="n">
        <f aca="false">N13</f>
        <v>1.39333333333333</v>
      </c>
      <c r="P13" s="287" t="s">
        <v>419</v>
      </c>
    </row>
    <row r="14" customFormat="false" ht="16.5" hidden="false" customHeight="true" outlineLevel="0" collapsed="false">
      <c r="A14" s="259" t="s">
        <v>426</v>
      </c>
      <c r="B14" s="246" t="s">
        <v>400</v>
      </c>
      <c r="C14" s="260" t="n">
        <v>9</v>
      </c>
      <c r="D14" s="249" t="n">
        <f aca="false">250/600</f>
        <v>0.416666666666667</v>
      </c>
      <c r="E14" s="249" t="n">
        <f aca="false">102/600</f>
        <v>0.17</v>
      </c>
      <c r="F14" s="250"/>
      <c r="G14" s="250"/>
      <c r="H14" s="250"/>
      <c r="I14" s="250"/>
      <c r="J14" s="250"/>
      <c r="K14" s="211" t="n">
        <f aca="false">40/200</f>
        <v>0.2</v>
      </c>
      <c r="L14" s="280" t="n">
        <f aca="false">202/600</f>
        <v>0.336666666666667</v>
      </c>
      <c r="M14" s="280" t="n">
        <f aca="false">87/300</f>
        <v>0.29</v>
      </c>
      <c r="N14" s="291" t="n">
        <f aca="false">SUM(D14:M14)-MIN(D14:M14)</f>
        <v>1.24333333333333</v>
      </c>
      <c r="O14" s="253" t="n">
        <f aca="false">N14</f>
        <v>1.24333333333333</v>
      </c>
      <c r="P14" s="254"/>
    </row>
    <row r="15" customFormat="false" ht="16.5" hidden="false" customHeight="true" outlineLevel="0" collapsed="false">
      <c r="A15" s="292" t="s">
        <v>427</v>
      </c>
      <c r="B15" s="246" t="s">
        <v>6</v>
      </c>
      <c r="C15" s="246" t="n">
        <v>11</v>
      </c>
      <c r="D15" s="280" t="n">
        <f aca="false">250/600</f>
        <v>0.416666666666667</v>
      </c>
      <c r="E15" s="280" t="n">
        <f aca="false">152/600</f>
        <v>0.253333333333333</v>
      </c>
      <c r="F15" s="212" t="n">
        <v>0</v>
      </c>
      <c r="G15" s="211" t="n">
        <f aca="false">8/47</f>
        <v>0.170212765957447</v>
      </c>
      <c r="H15" s="211" t="n">
        <f aca="false">10/51</f>
        <v>0.196078431372549</v>
      </c>
      <c r="I15" s="211" t="n">
        <f aca="false">10/200</f>
        <v>0.05</v>
      </c>
      <c r="J15" s="284" t="n">
        <v>0</v>
      </c>
      <c r="K15" s="212" t="n">
        <v>0</v>
      </c>
      <c r="L15" s="212" t="n">
        <v>0</v>
      </c>
      <c r="M15" s="212" t="n">
        <v>0</v>
      </c>
      <c r="N15" s="291" t="n">
        <f aca="false">SUM(D15:M15)-MIN(D15:M15)</f>
        <v>1.08629119733</v>
      </c>
      <c r="O15" s="253" t="n">
        <f aca="false">N15</f>
        <v>1.08629119733</v>
      </c>
      <c r="P15" s="254"/>
    </row>
    <row r="16" customFormat="false" ht="16.5" hidden="false" customHeight="true" outlineLevel="0" collapsed="false">
      <c r="A16" s="293" t="s">
        <v>404</v>
      </c>
      <c r="B16" s="294" t="n">
        <v>171</v>
      </c>
      <c r="C16" s="295" t="n">
        <v>11</v>
      </c>
      <c r="D16" s="296" t="n">
        <f aca="false">350/600</f>
        <v>0.583333333333333</v>
      </c>
      <c r="E16" s="297" t="n">
        <f aca="false">252/600</f>
        <v>0.42</v>
      </c>
      <c r="F16" s="298" t="n">
        <v>0</v>
      </c>
      <c r="G16" s="298" t="n">
        <v>0</v>
      </c>
      <c r="H16" s="298" t="n">
        <v>0</v>
      </c>
      <c r="I16" s="298" t="n">
        <v>0</v>
      </c>
      <c r="J16" s="298" t="n">
        <v>0</v>
      </c>
      <c r="K16" s="298" t="n">
        <v>0</v>
      </c>
      <c r="L16" s="284" t="n">
        <v>0</v>
      </c>
      <c r="M16" s="284" t="n">
        <v>0</v>
      </c>
      <c r="N16" s="299" t="n">
        <f aca="false">SUM(D16:M16)-MIN(D16:M16)</f>
        <v>1.00333333333333</v>
      </c>
      <c r="O16" s="269" t="n">
        <f aca="false">N16</f>
        <v>1.00333333333333</v>
      </c>
      <c r="P16" s="270"/>
    </row>
    <row r="17" customFormat="false" ht="16.5" hidden="false" customHeight="true" outlineLevel="0" collapsed="false">
      <c r="A17" s="262" t="s">
        <v>428</v>
      </c>
      <c r="B17" s="229" t="n">
        <v>194</v>
      </c>
      <c r="C17" s="246" t="n">
        <v>9</v>
      </c>
      <c r="D17" s="249" t="n">
        <f aca="false">250/600</f>
        <v>0.416666666666667</v>
      </c>
      <c r="E17" s="249" t="n">
        <f aca="false">222/600</f>
        <v>0.37</v>
      </c>
      <c r="F17" s="250"/>
      <c r="G17" s="250"/>
      <c r="H17" s="250"/>
      <c r="I17" s="250"/>
      <c r="J17" s="250"/>
      <c r="K17" s="284" t="n">
        <v>0</v>
      </c>
      <c r="L17" s="280" t="n">
        <f aca="false">20/600</f>
        <v>0.0333333333333333</v>
      </c>
      <c r="M17" s="212" t="n">
        <v>0</v>
      </c>
      <c r="N17" s="211" t="n">
        <f aca="false">SUM(D17:M17)-MIN(D17:M17)</f>
        <v>0.82</v>
      </c>
      <c r="O17" s="253" t="n">
        <f aca="false">N17</f>
        <v>0.82</v>
      </c>
      <c r="P17" s="254"/>
    </row>
    <row r="18" customFormat="false" ht="16.5" hidden="false" customHeight="true" outlineLevel="0" collapsed="false">
      <c r="A18" s="262" t="s">
        <v>406</v>
      </c>
      <c r="B18" s="246" t="s">
        <v>407</v>
      </c>
      <c r="C18" s="263" t="n">
        <v>11</v>
      </c>
      <c r="D18" s="280" t="n">
        <f aca="false">220/600</f>
        <v>0.366666666666667</v>
      </c>
      <c r="E18" s="280" t="n">
        <f aca="false">134/600</f>
        <v>0.223333333333333</v>
      </c>
      <c r="F18" s="280" t="n">
        <f aca="false">12/82</f>
        <v>0.146341463414634</v>
      </c>
      <c r="G18" s="212" t="n">
        <v>0</v>
      </c>
      <c r="H18" s="212" t="n">
        <v>0</v>
      </c>
      <c r="I18" s="212" t="n">
        <v>0</v>
      </c>
      <c r="J18" s="212" t="n">
        <v>0</v>
      </c>
      <c r="K18" s="212" t="n">
        <v>0</v>
      </c>
      <c r="L18" s="212" t="n">
        <v>0</v>
      </c>
      <c r="M18" s="212" t="n">
        <v>0</v>
      </c>
      <c r="N18" s="211" t="n">
        <f aca="false">SUM(D18:M18)-MIN(D18:M18)</f>
        <v>0.736341463414634</v>
      </c>
      <c r="O18" s="253" t="n">
        <f aca="false">N18</f>
        <v>0.736341463414634</v>
      </c>
      <c r="P18" s="254"/>
    </row>
    <row r="19" customFormat="false" ht="16.5" hidden="false" customHeight="true" outlineLevel="0" collapsed="false">
      <c r="A19" s="300" t="s">
        <v>429</v>
      </c>
      <c r="B19" s="255" t="s">
        <v>146</v>
      </c>
      <c r="C19" s="246" t="n">
        <v>9</v>
      </c>
      <c r="D19" s="249" t="n">
        <f aca="false">190/600</f>
        <v>0.316666666666667</v>
      </c>
      <c r="E19" s="249" t="n">
        <f aca="false">80/600</f>
        <v>0.133333333333333</v>
      </c>
      <c r="F19" s="249"/>
      <c r="G19" s="249"/>
      <c r="H19" s="249"/>
      <c r="I19" s="249"/>
      <c r="J19" s="249"/>
      <c r="K19" s="284" t="n">
        <v>0</v>
      </c>
      <c r="L19" s="212" t="n">
        <v>0</v>
      </c>
      <c r="M19" s="212" t="n">
        <v>0</v>
      </c>
      <c r="N19" s="211" t="n">
        <f aca="false">SUM(D19:M19)-MIN(D19:M19)</f>
        <v>0.45</v>
      </c>
      <c r="O19" s="253" t="n">
        <f aca="false">N19</f>
        <v>0.45</v>
      </c>
      <c r="P19" s="254"/>
    </row>
    <row r="20" customFormat="false" ht="16.5" hidden="false" customHeight="true" outlineLevel="0" collapsed="false">
      <c r="A20" s="292" t="s">
        <v>430</v>
      </c>
      <c r="B20" s="255" t="s">
        <v>6</v>
      </c>
      <c r="C20" s="246" t="n">
        <v>7</v>
      </c>
      <c r="D20" s="249" t="n">
        <f aca="false">150/600</f>
        <v>0.25</v>
      </c>
      <c r="E20" s="249" t="n">
        <f aca="false">80/600</f>
        <v>0.133333333333333</v>
      </c>
      <c r="F20" s="249"/>
      <c r="G20" s="249"/>
      <c r="H20" s="249"/>
      <c r="I20" s="249"/>
      <c r="J20" s="249"/>
      <c r="K20" s="284" t="n">
        <v>0</v>
      </c>
      <c r="L20" s="284" t="n">
        <v>0</v>
      </c>
      <c r="M20" s="284" t="n">
        <v>0</v>
      </c>
      <c r="N20" s="221" t="n">
        <f aca="false">SUM(D20:M20)-MIN(D20:M20)</f>
        <v>0.383333333333333</v>
      </c>
      <c r="O20" s="253" t="n">
        <f aca="false">N20</f>
        <v>0.383333333333333</v>
      </c>
      <c r="P20" s="254"/>
    </row>
    <row r="21" customFormat="false" ht="16.5" hidden="false" customHeight="true" outlineLevel="0" collapsed="false">
      <c r="A21" s="118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</row>
  </sheetData>
  <autoFilter ref="A1:P20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8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pane xSplit="0" ySplit="1" topLeftCell="A3" activePane="bottomLeft" state="frozen"/>
      <selection pane="topLeft" activeCell="C1" activeCellId="0" sqref="C1"/>
      <selection pane="bottomLeft" activeCell="G17" activeCellId="0" sqref="G17"/>
    </sheetView>
  </sheetViews>
  <sheetFormatPr defaultColWidth="8.6875" defaultRowHeight="16.5" zeroHeight="false" outlineLevelRow="0" outlineLevelCol="0"/>
  <cols>
    <col collapsed="false" customWidth="true" hidden="false" outlineLevel="0" max="1" min="1" style="169" width="32"/>
    <col collapsed="false" customWidth="true" hidden="false" outlineLevel="0" max="2" min="2" style="237" width="3.99"/>
    <col collapsed="false" customWidth="true" hidden="false" outlineLevel="0" max="3" min="3" style="237" width="3.86"/>
    <col collapsed="false" customWidth="true" hidden="false" outlineLevel="0" max="5" min="4" style="237" width="6.71"/>
    <col collapsed="false" customWidth="true" hidden="false" outlineLevel="0" max="7" min="6" style="0" width="6.71"/>
    <col collapsed="false" customWidth="true" hidden="false" outlineLevel="0" max="8" min="8" style="169" width="6.71"/>
    <col collapsed="false" customWidth="true" hidden="false" outlineLevel="0" max="12" min="9" style="0" width="6.71"/>
    <col collapsed="false" customWidth="true" hidden="false" outlineLevel="0" max="16" min="16" style="0" width="6.71"/>
    <col collapsed="false" customWidth="true" hidden="false" outlineLevel="0" max="17" min="17" style="237" width="6.71"/>
    <col collapsed="false" customWidth="true" hidden="false" outlineLevel="0" max="18" min="18" style="0" width="9.14"/>
  </cols>
  <sheetData>
    <row r="1" customFormat="false" ht="61.5" hidden="false" customHeight="true" outlineLevel="0" collapsed="false">
      <c r="A1" s="158" t="s">
        <v>119</v>
      </c>
      <c r="B1" s="203" t="s">
        <v>2</v>
      </c>
      <c r="C1" s="204" t="s">
        <v>1</v>
      </c>
      <c r="D1" s="205" t="s">
        <v>351</v>
      </c>
      <c r="E1" s="205" t="s">
        <v>352</v>
      </c>
      <c r="F1" s="206" t="n">
        <v>1</v>
      </c>
      <c r="G1" s="206" t="n">
        <v>2</v>
      </c>
      <c r="H1" s="205" t="s">
        <v>431</v>
      </c>
      <c r="I1" s="206" t="s">
        <v>354</v>
      </c>
      <c r="J1" s="206" t="s">
        <v>432</v>
      </c>
      <c r="K1" s="206" t="s">
        <v>433</v>
      </c>
      <c r="L1" s="206" t="s">
        <v>434</v>
      </c>
      <c r="M1" s="206" t="s">
        <v>435</v>
      </c>
      <c r="N1" s="206" t="s">
        <v>436</v>
      </c>
      <c r="O1" s="206" t="s">
        <v>437</v>
      </c>
      <c r="P1" s="301" t="s">
        <v>397</v>
      </c>
      <c r="Q1" s="206" t="s">
        <v>3</v>
      </c>
      <c r="R1" s="206" t="s">
        <v>4</v>
      </c>
    </row>
    <row r="2" customFormat="false" ht="16.5" hidden="false" customHeight="true" outlineLevel="0" collapsed="false">
      <c r="A2" s="286" t="s">
        <v>438</v>
      </c>
      <c r="B2" s="255" t="s">
        <v>439</v>
      </c>
      <c r="C2" s="246" t="n">
        <v>8</v>
      </c>
      <c r="D2" s="249" t="n">
        <f aca="false">174/330</f>
        <v>0.527272727272727</v>
      </c>
      <c r="E2" s="249" t="n">
        <f aca="false">148/200</f>
        <v>0.74</v>
      </c>
      <c r="F2" s="249" t="n">
        <f aca="false">230/300</f>
        <v>0.766666666666667</v>
      </c>
      <c r="G2" s="249" t="n">
        <f aca="false">17/300</f>
        <v>0.0566666666666667</v>
      </c>
      <c r="H2" s="280" t="n">
        <f aca="false">62/200</f>
        <v>0.31</v>
      </c>
      <c r="I2" s="249" t="n">
        <f aca="false">6/60</f>
        <v>0.1</v>
      </c>
      <c r="J2" s="302" t="n">
        <v>0</v>
      </c>
      <c r="K2" s="249" t="n">
        <f aca="false">40/132</f>
        <v>0.303030303030303</v>
      </c>
      <c r="L2" s="249" t="n">
        <f aca="false">15/200</f>
        <v>0.075</v>
      </c>
      <c r="M2" s="249" t="n">
        <f aca="false">30/200</f>
        <v>0.15</v>
      </c>
      <c r="N2" s="249"/>
      <c r="O2" s="303" t="n">
        <v>0</v>
      </c>
      <c r="P2" s="221" t="n">
        <f aca="false">SUM(D2:O2)-MIN(D2:O2)</f>
        <v>3.02863636363636</v>
      </c>
      <c r="Q2" s="249" t="n">
        <f aca="false">P2*1.2</f>
        <v>3.63436363636364</v>
      </c>
      <c r="R2" s="254"/>
    </row>
    <row r="3" customFormat="false" ht="16.5" hidden="false" customHeight="true" outlineLevel="0" collapsed="false">
      <c r="A3" s="262" t="s">
        <v>440</v>
      </c>
      <c r="B3" s="255" t="n">
        <v>171</v>
      </c>
      <c r="C3" s="263" t="n">
        <v>11</v>
      </c>
      <c r="D3" s="303" t="n">
        <f aca="false">300/300</f>
        <v>1</v>
      </c>
      <c r="E3" s="250" t="n">
        <f aca="false">200/200</f>
        <v>1</v>
      </c>
      <c r="F3" s="304" t="n">
        <f aca="false">260/300</f>
        <v>0.866666666666667</v>
      </c>
      <c r="G3" s="305" t="n">
        <f aca="false">162/300</f>
        <v>0.54</v>
      </c>
      <c r="H3" s="280" t="n">
        <f aca="false">178/200</f>
        <v>0.89</v>
      </c>
      <c r="I3" s="250" t="n">
        <f aca="false">200/200</f>
        <v>1</v>
      </c>
      <c r="J3" s="305" t="n">
        <f aca="false">6/40</f>
        <v>0.15</v>
      </c>
      <c r="K3" s="250" t="n">
        <f aca="false">200/200</f>
        <v>1</v>
      </c>
      <c r="L3" s="250" t="n">
        <f aca="false">200/200</f>
        <v>1</v>
      </c>
      <c r="M3" s="249" t="n">
        <f aca="false">196/200</f>
        <v>0.98</v>
      </c>
      <c r="N3" s="305"/>
      <c r="O3" s="303" t="n">
        <v>0</v>
      </c>
      <c r="P3" s="221" t="n">
        <f aca="false">SUM(D3:O3)-MIN(D3:O3)</f>
        <v>8.42666666666667</v>
      </c>
      <c r="Q3" s="304" t="n">
        <f aca="false">P3</f>
        <v>8.42666666666667</v>
      </c>
      <c r="R3" s="254"/>
    </row>
    <row r="4" customFormat="false" ht="16.5" hidden="false" customHeight="true" outlineLevel="0" collapsed="false">
      <c r="A4" s="306" t="s">
        <v>411</v>
      </c>
      <c r="B4" s="255" t="s">
        <v>6</v>
      </c>
      <c r="C4" s="290" t="n">
        <v>10</v>
      </c>
      <c r="D4" s="304" t="n">
        <f aca="false">125/300</f>
        <v>0.416666666666667</v>
      </c>
      <c r="E4" s="250" t="n">
        <f aca="false">200/200</f>
        <v>1</v>
      </c>
      <c r="F4" s="303" t="n">
        <v>0</v>
      </c>
      <c r="G4" s="305" t="n">
        <f aca="false">131/300</f>
        <v>0.436666666666667</v>
      </c>
      <c r="H4" s="280" t="n">
        <f aca="false">72/200</f>
        <v>0.36</v>
      </c>
      <c r="I4" s="305" t="n">
        <f aca="false">29/60</f>
        <v>0.483333333333333</v>
      </c>
      <c r="J4" s="305" t="n">
        <f aca="false">24/40</f>
        <v>0.6</v>
      </c>
      <c r="K4" s="249" t="n">
        <f aca="false">41/132</f>
        <v>0.310606060606061</v>
      </c>
      <c r="L4" s="249" t="n">
        <f aca="false">150/200</f>
        <v>0.75</v>
      </c>
      <c r="M4" s="249" t="n">
        <f aca="false">125/200</f>
        <v>0.625</v>
      </c>
      <c r="N4" s="305"/>
      <c r="O4" s="303" t="n">
        <v>0</v>
      </c>
      <c r="P4" s="221" t="n">
        <f aca="false">SUM(D4:O4)-MIN(D4:O4)</f>
        <v>4.98227272727273</v>
      </c>
      <c r="Q4" s="249" t="n">
        <f aca="false">P4*1.1</f>
        <v>5.4805</v>
      </c>
      <c r="R4" s="254"/>
    </row>
    <row r="5" customFormat="false" ht="16.5" hidden="false" customHeight="true" outlineLevel="0" collapsed="false">
      <c r="A5" s="306" t="s">
        <v>425</v>
      </c>
      <c r="B5" s="255" t="s">
        <v>6</v>
      </c>
      <c r="C5" s="290" t="n">
        <v>10</v>
      </c>
      <c r="D5" s="304" t="n">
        <f aca="false">142/300</f>
        <v>0.473333333333333</v>
      </c>
      <c r="E5" s="250" t="n">
        <f aca="false">110/200</f>
        <v>0.55</v>
      </c>
      <c r="F5" s="304" t="n">
        <f aca="false">154/300</f>
        <v>0.513333333333333</v>
      </c>
      <c r="G5" s="305" t="n">
        <f aca="false">163/300</f>
        <v>0.543333333333333</v>
      </c>
      <c r="H5" s="280" t="n">
        <f aca="false">42/200</f>
        <v>0.21</v>
      </c>
      <c r="I5" s="305" t="n">
        <f aca="false">20/60</f>
        <v>0.333333333333333</v>
      </c>
      <c r="J5" s="302" t="n">
        <v>0</v>
      </c>
      <c r="K5" s="302" t="n">
        <v>0</v>
      </c>
      <c r="L5" s="302" t="n">
        <v>0</v>
      </c>
      <c r="M5" s="302" t="n">
        <v>0</v>
      </c>
      <c r="N5" s="305"/>
      <c r="O5" s="303" t="n">
        <v>0</v>
      </c>
      <c r="P5" s="221" t="n">
        <f aca="false">SUM(D5:O5)-MIN(D5:O5)</f>
        <v>2.62333333333333</v>
      </c>
      <c r="Q5" s="249" t="n">
        <f aca="false">P5*1.1</f>
        <v>2.88566666666667</v>
      </c>
      <c r="R5" s="254"/>
    </row>
    <row r="6" customFormat="false" ht="16.5" hidden="false" customHeight="true" outlineLevel="0" collapsed="false">
      <c r="A6" s="286" t="s">
        <v>441</v>
      </c>
      <c r="B6" s="255" t="n">
        <v>52</v>
      </c>
      <c r="C6" s="246" t="n">
        <v>6</v>
      </c>
      <c r="D6" s="304" t="n">
        <f aca="false">124/300</f>
        <v>0.413333333333333</v>
      </c>
      <c r="E6" s="304" t="n">
        <f aca="false">46/200</f>
        <v>0.23</v>
      </c>
      <c r="F6" s="304" t="n">
        <f aca="false">39/300</f>
        <v>0.13</v>
      </c>
      <c r="G6" s="305" t="n">
        <f aca="false">62/300</f>
        <v>0.206666666666667</v>
      </c>
      <c r="H6" s="280" t="n">
        <f aca="false">12/200</f>
        <v>0.06</v>
      </c>
      <c r="I6" s="303" t="n">
        <v>0</v>
      </c>
      <c r="J6" s="303" t="n">
        <v>0</v>
      </c>
      <c r="K6" s="249" t="n">
        <f aca="false">40/132</f>
        <v>0.303030303030303</v>
      </c>
      <c r="L6" s="249" t="n">
        <f aca="false">100/200</f>
        <v>0.5</v>
      </c>
      <c r="M6" s="249" t="n">
        <f aca="false">8/200</f>
        <v>0.04</v>
      </c>
      <c r="N6" s="305"/>
      <c r="O6" s="303" t="n">
        <v>0</v>
      </c>
      <c r="P6" s="221" t="n">
        <f aca="false">SUM(D6:O6)-MIN(D6:O6)</f>
        <v>1.8830303030303</v>
      </c>
      <c r="Q6" s="249" t="n">
        <f aca="false">P6*1.2</f>
        <v>2.25963636363636</v>
      </c>
      <c r="R6" s="254"/>
    </row>
    <row r="7" customFormat="false" ht="16.5" hidden="false" customHeight="true" outlineLevel="0" collapsed="false">
      <c r="A7" s="307" t="s">
        <v>428</v>
      </c>
      <c r="B7" s="255" t="n">
        <v>194</v>
      </c>
      <c r="C7" s="308" t="n">
        <v>10</v>
      </c>
      <c r="D7" s="304" t="n">
        <f aca="false">54/300</f>
        <v>0.18</v>
      </c>
      <c r="E7" s="249" t="n">
        <f aca="false">172/200</f>
        <v>0.86</v>
      </c>
      <c r="F7" s="304" t="n">
        <f aca="false">221/300</f>
        <v>0.736666666666667</v>
      </c>
      <c r="G7" s="305" t="n">
        <f aca="false">100/300</f>
        <v>0.333333333333333</v>
      </c>
      <c r="H7" s="280" t="n">
        <f aca="false">98/200</f>
        <v>0.49</v>
      </c>
      <c r="I7" s="305" t="n">
        <f aca="false">22/60</f>
        <v>0.366666666666667</v>
      </c>
      <c r="J7" s="305" t="n">
        <f aca="false">17/40</f>
        <v>0.425</v>
      </c>
      <c r="K7" s="249" t="n">
        <f aca="false">40/132</f>
        <v>0.303030303030303</v>
      </c>
      <c r="L7" s="249" t="n">
        <f aca="false">75/200</f>
        <v>0.375</v>
      </c>
      <c r="M7" s="249" t="n">
        <f aca="false">140/200</f>
        <v>0.7</v>
      </c>
      <c r="N7" s="305"/>
      <c r="O7" s="303" t="n">
        <v>0</v>
      </c>
      <c r="P7" s="221" t="n">
        <f aca="false">SUM(D7:O7)-MIN(D7:O7)</f>
        <v>4.76969696969697</v>
      </c>
      <c r="Q7" s="249" t="n">
        <f aca="false">P7*1.1</f>
        <v>5.24666666666667</v>
      </c>
      <c r="R7" s="254"/>
    </row>
    <row r="8" customFormat="false" ht="16.5" hidden="false" customHeight="true" outlineLevel="0" collapsed="false">
      <c r="A8" s="309" t="s">
        <v>402</v>
      </c>
      <c r="B8" s="255" t="s">
        <v>146</v>
      </c>
      <c r="C8" s="260" t="n">
        <v>11</v>
      </c>
      <c r="D8" s="304" t="n">
        <f aca="false">238/300</f>
        <v>0.793333333333333</v>
      </c>
      <c r="E8" s="249" t="n">
        <f aca="false">164/200</f>
        <v>0.82</v>
      </c>
      <c r="F8" s="304" t="n">
        <f aca="false">260/300</f>
        <v>0.866666666666667</v>
      </c>
      <c r="G8" s="305" t="n">
        <f aca="false">232/300</f>
        <v>0.773333333333333</v>
      </c>
      <c r="H8" s="250" t="n">
        <f aca="false">200/200</f>
        <v>1</v>
      </c>
      <c r="I8" s="250" t="n">
        <f aca="false">200/200</f>
        <v>1</v>
      </c>
      <c r="J8" s="305" t="n">
        <f aca="false">23/40</f>
        <v>0.575</v>
      </c>
      <c r="K8" s="249" t="n">
        <f aca="false">73/132</f>
        <v>0.553030303030303</v>
      </c>
      <c r="L8" s="249" t="n">
        <f aca="false">195/200</f>
        <v>0.975</v>
      </c>
      <c r="M8" s="249" t="n">
        <f aca="false">195/200</f>
        <v>0.975</v>
      </c>
      <c r="N8" s="305"/>
      <c r="O8" s="303" t="n">
        <v>0</v>
      </c>
      <c r="P8" s="221" t="n">
        <f aca="false">SUM(D8:O8)-MIN(D8:O8)</f>
        <v>8.33136363636364</v>
      </c>
      <c r="Q8" s="304" t="n">
        <f aca="false">P8</f>
        <v>8.33136363636364</v>
      </c>
      <c r="R8" s="254"/>
    </row>
    <row r="9" customFormat="false" ht="16.5" hidden="false" customHeight="true" outlineLevel="0" collapsed="false">
      <c r="A9" s="262" t="s">
        <v>442</v>
      </c>
      <c r="B9" s="255" t="n">
        <v>171</v>
      </c>
      <c r="C9" s="263" t="n">
        <v>10</v>
      </c>
      <c r="D9" s="304" t="n">
        <f aca="false">129/300</f>
        <v>0.43</v>
      </c>
      <c r="E9" s="249" t="n">
        <f aca="false">164/200</f>
        <v>0.82</v>
      </c>
      <c r="F9" s="304" t="n">
        <f aca="false">189/300</f>
        <v>0.63</v>
      </c>
      <c r="G9" s="305" t="n">
        <f aca="false">131/300</f>
        <v>0.436666666666667</v>
      </c>
      <c r="H9" s="280" t="n">
        <f aca="false">10/200</f>
        <v>0.05</v>
      </c>
      <c r="I9" s="305" t="n">
        <f aca="false">33/60</f>
        <v>0.55</v>
      </c>
      <c r="J9" s="305" t="n">
        <f aca="false">18/40</f>
        <v>0.45</v>
      </c>
      <c r="K9" s="249" t="n">
        <f aca="false">53/132</f>
        <v>0.401515151515152</v>
      </c>
      <c r="L9" s="249" t="n">
        <f aca="false">100/200</f>
        <v>0.5</v>
      </c>
      <c r="M9" s="249" t="n">
        <f aca="false">156/200</f>
        <v>0.78</v>
      </c>
      <c r="N9" s="305"/>
      <c r="O9" s="303" t="n">
        <v>0</v>
      </c>
      <c r="P9" s="221" t="n">
        <f aca="false">SUM(D9:O9)-MIN(D9:O9)</f>
        <v>5.04818181818182</v>
      </c>
      <c r="Q9" s="249" t="n">
        <f aca="false">P9*1.1</f>
        <v>5.553</v>
      </c>
      <c r="R9" s="254"/>
    </row>
    <row r="10" customFormat="false" ht="16.5" hidden="false" customHeight="true" outlineLevel="0" collapsed="false">
      <c r="A10" s="262" t="s">
        <v>443</v>
      </c>
      <c r="B10" s="255" t="n">
        <v>145</v>
      </c>
      <c r="C10" s="263" t="n">
        <v>9</v>
      </c>
      <c r="D10" s="304" t="n">
        <f aca="false">119/300</f>
        <v>0.396666666666667</v>
      </c>
      <c r="E10" s="304" t="n">
        <f aca="false">66/200</f>
        <v>0.33</v>
      </c>
      <c r="F10" s="304" t="n">
        <f aca="false">163/300</f>
        <v>0.543333333333333</v>
      </c>
      <c r="G10" s="305" t="n">
        <f aca="false">101/300</f>
        <v>0.336666666666667</v>
      </c>
      <c r="H10" s="302" t="n">
        <v>0</v>
      </c>
      <c r="I10" s="305" t="n">
        <f aca="false">6/60</f>
        <v>0.1</v>
      </c>
      <c r="J10" s="303" t="n">
        <v>0</v>
      </c>
      <c r="K10" s="303" t="n">
        <v>0</v>
      </c>
      <c r="L10" s="249" t="n">
        <f aca="false">20/200</f>
        <v>0.1</v>
      </c>
      <c r="M10" s="303" t="n">
        <v>0</v>
      </c>
      <c r="N10" s="305"/>
      <c r="O10" s="303" t="n">
        <v>0</v>
      </c>
      <c r="P10" s="221" t="n">
        <f aca="false">SUM(D10:O10)-MIN(D10:O10)</f>
        <v>1.80666666666667</v>
      </c>
      <c r="Q10" s="249" t="n">
        <f aca="false">P10*1.2</f>
        <v>2.168</v>
      </c>
      <c r="R10" s="254"/>
    </row>
    <row r="11" customFormat="false" ht="16.5" hidden="false" customHeight="true" outlineLevel="0" collapsed="false">
      <c r="A11" s="262" t="s">
        <v>444</v>
      </c>
      <c r="B11" s="255" t="n">
        <v>145</v>
      </c>
      <c r="C11" s="263" t="n">
        <v>11</v>
      </c>
      <c r="D11" s="303" t="n">
        <f aca="false">300/300</f>
        <v>1</v>
      </c>
      <c r="E11" s="250" t="n">
        <f aca="false">200/200</f>
        <v>1</v>
      </c>
      <c r="F11" s="249" t="n">
        <f aca="false">230/300</f>
        <v>0.766666666666667</v>
      </c>
      <c r="G11" s="250" t="n">
        <f aca="false">200/200</f>
        <v>1</v>
      </c>
      <c r="H11" s="280" t="n">
        <f aca="false">86/200</f>
        <v>0.43</v>
      </c>
      <c r="I11" s="305" t="n">
        <f aca="false">6/60</f>
        <v>0.1</v>
      </c>
      <c r="J11" s="305" t="n">
        <f aca="false">8.5/40</f>
        <v>0.2125</v>
      </c>
      <c r="K11" s="249" t="n">
        <f aca="false">48/132</f>
        <v>0.363636363636364</v>
      </c>
      <c r="L11" s="249" t="n">
        <f aca="false">155/200</f>
        <v>0.775</v>
      </c>
      <c r="M11" s="249" t="n">
        <f aca="false">155/200</f>
        <v>0.775</v>
      </c>
      <c r="N11" s="305"/>
      <c r="O11" s="303" t="n">
        <v>0</v>
      </c>
      <c r="P11" s="221" t="n">
        <f aca="false">SUM(D11:O11)-MIN(D11:O11)</f>
        <v>6.42280303030303</v>
      </c>
      <c r="Q11" s="304" t="n">
        <f aca="false">P11</f>
        <v>6.42280303030303</v>
      </c>
      <c r="R11" s="254"/>
    </row>
    <row r="12" customFormat="false" ht="16.5" hidden="false" customHeight="true" outlineLevel="0" collapsed="false">
      <c r="A12" s="306" t="s">
        <v>445</v>
      </c>
      <c r="B12" s="255" t="s">
        <v>6</v>
      </c>
      <c r="C12" s="290" t="n">
        <v>9</v>
      </c>
      <c r="D12" s="304" t="n">
        <f aca="false">140/300</f>
        <v>0.466666666666667</v>
      </c>
      <c r="E12" s="249" t="n">
        <f aca="false">87/200</f>
        <v>0.435</v>
      </c>
      <c r="F12" s="304" t="n">
        <f aca="false">120/300</f>
        <v>0.4</v>
      </c>
      <c r="G12" s="305" t="n">
        <f aca="false">70/300</f>
        <v>0.233333333333333</v>
      </c>
      <c r="H12" s="280" t="n">
        <f aca="false">60/200</f>
        <v>0.3</v>
      </c>
      <c r="I12" s="305" t="n">
        <f aca="false">20/60</f>
        <v>0.333333333333333</v>
      </c>
      <c r="J12" s="305" t="n">
        <f aca="false">8/40</f>
        <v>0.2</v>
      </c>
      <c r="K12" s="249" t="n">
        <f aca="false">41/132</f>
        <v>0.310606060606061</v>
      </c>
      <c r="L12" s="249" t="n">
        <f aca="false">105/200</f>
        <v>0.525</v>
      </c>
      <c r="M12" s="249" t="n">
        <f aca="false">24/200</f>
        <v>0.12</v>
      </c>
      <c r="N12" s="305"/>
      <c r="O12" s="303" t="n">
        <v>0</v>
      </c>
      <c r="P12" s="221" t="n">
        <f aca="false">SUM(D12:O12)-MIN(D12:O12)</f>
        <v>3.32393939393939</v>
      </c>
      <c r="Q12" s="249" t="n">
        <f aca="false">P12*1.2</f>
        <v>3.98872727272727</v>
      </c>
      <c r="R12" s="254"/>
    </row>
    <row r="13" customFormat="false" ht="16.5" hidden="false" customHeight="true" outlineLevel="0" collapsed="false">
      <c r="A13" s="262" t="s">
        <v>446</v>
      </c>
      <c r="B13" s="255" t="n">
        <v>145</v>
      </c>
      <c r="C13" s="263" t="n">
        <v>10</v>
      </c>
      <c r="D13" s="304" t="n">
        <f aca="false">142/300</f>
        <v>0.473333333333333</v>
      </c>
      <c r="E13" s="249" t="n">
        <f aca="false">100/200</f>
        <v>0.5</v>
      </c>
      <c r="F13" s="304" t="n">
        <f aca="false">161/300</f>
        <v>0.536666666666667</v>
      </c>
      <c r="G13" s="305" t="n">
        <f aca="false">64/300</f>
        <v>0.213333333333333</v>
      </c>
      <c r="H13" s="280" t="n">
        <f aca="false">14/200</f>
        <v>0.07</v>
      </c>
      <c r="I13" s="303" t="n">
        <v>0</v>
      </c>
      <c r="J13" s="303" t="n">
        <v>0</v>
      </c>
      <c r="K13" s="249" t="n">
        <f aca="false">40/132</f>
        <v>0.303030303030303</v>
      </c>
      <c r="L13" s="303" t="n">
        <v>0</v>
      </c>
      <c r="M13" s="303" t="n">
        <v>0</v>
      </c>
      <c r="N13" s="305"/>
      <c r="O13" s="303" t="n">
        <v>0</v>
      </c>
      <c r="P13" s="221" t="n">
        <f aca="false">SUM(D13:O13)-MIN(D13:O13)</f>
        <v>2.09636363636364</v>
      </c>
      <c r="Q13" s="249" t="n">
        <f aca="false">P13*1.1</f>
        <v>2.306</v>
      </c>
      <c r="R13" s="254"/>
    </row>
    <row r="14" customFormat="false" ht="16.5" hidden="false" customHeight="true" outlineLevel="0" collapsed="false">
      <c r="A14" s="259" t="s">
        <v>391</v>
      </c>
      <c r="B14" s="255" t="s">
        <v>400</v>
      </c>
      <c r="C14" s="260" t="n">
        <v>11</v>
      </c>
      <c r="D14" s="303" t="n">
        <f aca="false">300/300</f>
        <v>1</v>
      </c>
      <c r="E14" s="250" t="n">
        <f aca="false">200/200</f>
        <v>1</v>
      </c>
      <c r="F14" s="304" t="n">
        <f aca="false">200/300</f>
        <v>0.666666666666667</v>
      </c>
      <c r="G14" s="305" t="n">
        <f aca="false">277/300</f>
        <v>0.923333333333333</v>
      </c>
      <c r="H14" s="280" t="n">
        <f aca="false">20/200</f>
        <v>0.1</v>
      </c>
      <c r="I14" s="305" t="n">
        <f aca="false">52/60</f>
        <v>0.866666666666667</v>
      </c>
      <c r="J14" s="250" t="n">
        <f aca="false">200/200</f>
        <v>1</v>
      </c>
      <c r="K14" s="249" t="n">
        <f aca="false">70/132</f>
        <v>0.53030303030303</v>
      </c>
      <c r="L14" s="250" t="n">
        <f aca="false">200/200</f>
        <v>1</v>
      </c>
      <c r="M14" s="250" t="n">
        <f aca="false">200/200</f>
        <v>1</v>
      </c>
      <c r="N14" s="305"/>
      <c r="O14" s="303" t="n">
        <v>0</v>
      </c>
      <c r="P14" s="221" t="n">
        <f aca="false">SUM(D14:O14)-MIN(D14:O14)</f>
        <v>8.0869696969697</v>
      </c>
      <c r="Q14" s="304" t="n">
        <f aca="false">P14</f>
        <v>8.0869696969697</v>
      </c>
      <c r="R14" s="254"/>
    </row>
    <row r="15" customFormat="false" ht="16.5" hidden="false" customHeight="true" outlineLevel="0" collapsed="false">
      <c r="A15" s="300" t="s">
        <v>447</v>
      </c>
      <c r="B15" s="255" t="n">
        <v>52</v>
      </c>
      <c r="C15" s="229" t="n">
        <v>9</v>
      </c>
      <c r="D15" s="304" t="n">
        <f aca="false">111/300</f>
        <v>0.37</v>
      </c>
      <c r="E15" s="249" t="n">
        <f aca="false">111/200</f>
        <v>0.555</v>
      </c>
      <c r="F15" s="303" t="n">
        <v>0</v>
      </c>
      <c r="G15" s="303" t="n">
        <v>0</v>
      </c>
      <c r="H15" s="302" t="n">
        <v>0</v>
      </c>
      <c r="I15" s="302" t="n">
        <v>0</v>
      </c>
      <c r="J15" s="303" t="n">
        <v>0</v>
      </c>
      <c r="K15" s="303" t="n">
        <v>0</v>
      </c>
      <c r="L15" s="303" t="n">
        <v>0</v>
      </c>
      <c r="M15" s="302" t="n">
        <v>0</v>
      </c>
      <c r="N15" s="305"/>
      <c r="O15" s="303" t="n">
        <v>0</v>
      </c>
      <c r="P15" s="221" t="n">
        <f aca="false">SUM(D15:O15)-MIN(D15:O15)</f>
        <v>0.925</v>
      </c>
      <c r="Q15" s="249" t="n">
        <f aca="false">P15*1.2</f>
        <v>1.11</v>
      </c>
      <c r="R15" s="254"/>
    </row>
    <row r="16" customFormat="false" ht="16.5" hidden="false" customHeight="true" outlineLevel="0" collapsed="false">
      <c r="A16" s="262" t="s">
        <v>448</v>
      </c>
      <c r="B16" s="255" t="n">
        <v>171</v>
      </c>
      <c r="C16" s="263" t="n">
        <v>9</v>
      </c>
      <c r="D16" s="304" t="n">
        <f aca="false">118/300</f>
        <v>0.393333333333333</v>
      </c>
      <c r="E16" s="249" t="n">
        <f aca="false">79/200</f>
        <v>0.395</v>
      </c>
      <c r="F16" s="304" t="n">
        <f aca="false">43/300</f>
        <v>0.143333333333333</v>
      </c>
      <c r="G16" s="305" t="n">
        <f aca="false">68/300</f>
        <v>0.226666666666667</v>
      </c>
      <c r="H16" s="280" t="n">
        <f aca="false">16/200</f>
        <v>0.08</v>
      </c>
      <c r="I16" s="303" t="n">
        <v>0</v>
      </c>
      <c r="J16" s="305" t="n">
        <f aca="false">9/40</f>
        <v>0.225</v>
      </c>
      <c r="K16" s="249" t="n">
        <f aca="false">40/132</f>
        <v>0.303030303030303</v>
      </c>
      <c r="L16" s="302" t="n">
        <v>0</v>
      </c>
      <c r="M16" s="303" t="n">
        <v>0</v>
      </c>
      <c r="N16" s="305"/>
      <c r="O16" s="303" t="n">
        <v>0</v>
      </c>
      <c r="P16" s="221" t="n">
        <f aca="false">SUM(D16:O16)-MIN(D16:O16)</f>
        <v>1.76636363636364</v>
      </c>
      <c r="Q16" s="249" t="n">
        <f aca="false">P16*1.2</f>
        <v>2.11963636363636</v>
      </c>
      <c r="R16" s="254"/>
    </row>
    <row r="17" customFormat="false" ht="16.5" hidden="false" customHeight="true" outlineLevel="0" collapsed="false">
      <c r="A17" s="306" t="s">
        <v>449</v>
      </c>
      <c r="B17" s="255" t="s">
        <v>6</v>
      </c>
      <c r="C17" s="290" t="n">
        <v>8</v>
      </c>
      <c r="D17" s="304" t="n">
        <f aca="false">108/300</f>
        <v>0.36</v>
      </c>
      <c r="E17" s="249" t="n">
        <f aca="false">119/200</f>
        <v>0.595</v>
      </c>
      <c r="F17" s="304" t="n">
        <f aca="false">55/300</f>
        <v>0.183333333333333</v>
      </c>
      <c r="G17" s="305" t="n">
        <f aca="false">72/300</f>
        <v>0.24</v>
      </c>
      <c r="H17" s="302" t="n">
        <v>0</v>
      </c>
      <c r="I17" s="305" t="n">
        <f aca="false">1/60</f>
        <v>0.0166666666666667</v>
      </c>
      <c r="J17" s="305" t="n">
        <f aca="false">2/40</f>
        <v>0.05</v>
      </c>
      <c r="K17" s="303" t="n">
        <v>0</v>
      </c>
      <c r="L17" s="249" t="n">
        <f aca="false">65/200</f>
        <v>0.325</v>
      </c>
      <c r="M17" s="303" t="n">
        <v>0</v>
      </c>
      <c r="N17" s="305"/>
      <c r="O17" s="303" t="n">
        <v>0</v>
      </c>
      <c r="P17" s="221" t="n">
        <f aca="false">SUM(D17:O17)-MIN(D17:O17)</f>
        <v>1.77</v>
      </c>
      <c r="Q17" s="249" t="n">
        <f aca="false">P17*1.2</f>
        <v>2.124</v>
      </c>
      <c r="R17" s="254"/>
    </row>
    <row r="18" customFormat="false" ht="16.5" hidden="false" customHeight="true" outlineLevel="0" collapsed="false">
      <c r="A18" s="262" t="s">
        <v>420</v>
      </c>
      <c r="B18" s="255" t="s">
        <v>421</v>
      </c>
      <c r="C18" s="263" t="n">
        <v>11</v>
      </c>
      <c r="D18" s="304" t="n">
        <f aca="false">187/300</f>
        <v>0.623333333333333</v>
      </c>
      <c r="E18" s="249" t="n">
        <f aca="false">197/200</f>
        <v>0.985</v>
      </c>
      <c r="F18" s="303" t="n">
        <v>0</v>
      </c>
      <c r="G18" s="303" t="n">
        <v>0</v>
      </c>
      <c r="H18" s="302" t="n">
        <v>0</v>
      </c>
      <c r="I18" s="302" t="n">
        <v>0</v>
      </c>
      <c r="J18" s="302" t="n">
        <v>0</v>
      </c>
      <c r="K18" s="302" t="n">
        <v>0</v>
      </c>
      <c r="L18" s="302" t="n">
        <v>0</v>
      </c>
      <c r="M18" s="302" t="n">
        <v>0</v>
      </c>
      <c r="N18" s="305"/>
      <c r="O18" s="303" t="n">
        <v>0</v>
      </c>
      <c r="P18" s="221" t="n">
        <f aca="false">SUM(D18:O18)-MIN(D18:O18)</f>
        <v>1.60833333333333</v>
      </c>
      <c r="Q18" s="304" t="n">
        <f aca="false">P18</f>
        <v>1.60833333333333</v>
      </c>
      <c r="R18" s="254"/>
    </row>
  </sheetData>
  <autoFilter ref="A1:R18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6.5" zeroHeight="false" outlineLevelRow="0" outlineLevelCol="0"/>
  <cols>
    <col collapsed="false" customWidth="true" hidden="false" outlineLevel="0" max="1" min="1" style="200" width="35"/>
    <col collapsed="false" customWidth="true" hidden="false" outlineLevel="0" max="2" min="2" style="202" width="3.99"/>
    <col collapsed="false" customWidth="true" hidden="false" outlineLevel="0" max="3" min="3" style="202" width="3.86"/>
    <col collapsed="false" customWidth="true" hidden="true" outlineLevel="0" max="4" min="4" style="202" width="28.57"/>
    <col collapsed="false" customWidth="true" hidden="false" outlineLevel="0" max="6" min="5" style="202" width="6.71"/>
    <col collapsed="false" customWidth="true" hidden="false" outlineLevel="0" max="8" min="7" style="118" width="6.71"/>
    <col collapsed="false" customWidth="true" hidden="false" outlineLevel="0" max="9" min="9" style="200" width="6.71"/>
    <col collapsed="false" customWidth="true" hidden="false" outlineLevel="0" max="10" min="10" style="118" width="6.71"/>
    <col collapsed="false" customWidth="true" hidden="false" outlineLevel="0" max="11" min="11" style="202" width="6.71"/>
    <col collapsed="false" customWidth="true" hidden="false" outlineLevel="0" max="13" min="12" style="118" width="6.71"/>
    <col collapsed="false" customWidth="true" hidden="false" outlineLevel="0" max="14" min="14" style="202" width="7.57"/>
    <col collapsed="false" customWidth="true" hidden="false" outlineLevel="0" max="15" min="15" style="118" width="6.71"/>
    <col collapsed="false" customWidth="true" hidden="false" outlineLevel="0" max="16" min="16" style="202" width="6.71"/>
    <col collapsed="false" customWidth="false" hidden="false" outlineLevel="0" max="1024" min="17" style="118" width="9.14"/>
  </cols>
  <sheetData>
    <row r="1" customFormat="false" ht="61.5" hidden="false" customHeight="true" outlineLevel="0" collapsed="false">
      <c r="A1" s="205" t="s">
        <v>119</v>
      </c>
      <c r="B1" s="204" t="s">
        <v>2</v>
      </c>
      <c r="C1" s="204" t="s">
        <v>1</v>
      </c>
      <c r="D1" s="310" t="s">
        <v>274</v>
      </c>
      <c r="E1" s="205" t="s">
        <v>351</v>
      </c>
      <c r="F1" s="205" t="s">
        <v>352</v>
      </c>
      <c r="G1" s="206" t="s">
        <v>450</v>
      </c>
      <c r="H1" s="206" t="s">
        <v>327</v>
      </c>
      <c r="I1" s="205" t="s">
        <v>328</v>
      </c>
      <c r="J1" s="206" t="s">
        <v>451</v>
      </c>
      <c r="K1" s="206" t="s">
        <v>452</v>
      </c>
      <c r="L1" s="206" t="s">
        <v>453</v>
      </c>
      <c r="M1" s="206" t="s">
        <v>454</v>
      </c>
      <c r="N1" s="206" t="s">
        <v>455</v>
      </c>
      <c r="O1" s="206" t="s">
        <v>397</v>
      </c>
      <c r="P1" s="206" t="s">
        <v>3</v>
      </c>
      <c r="Q1" s="206" t="s">
        <v>4</v>
      </c>
    </row>
    <row r="2" customFormat="false" ht="16.5" hidden="false" customHeight="true" outlineLevel="0" collapsed="false">
      <c r="A2" s="307" t="s">
        <v>428</v>
      </c>
      <c r="B2" s="255" t="n">
        <v>194</v>
      </c>
      <c r="C2" s="308" t="n">
        <v>11</v>
      </c>
      <c r="D2" s="311" t="s">
        <v>456</v>
      </c>
      <c r="E2" s="312" t="n">
        <f aca="false">372/500</f>
        <v>0.744</v>
      </c>
      <c r="F2" s="313" t="n">
        <f aca="false">255/500</f>
        <v>0.51</v>
      </c>
      <c r="G2" s="279" t="n">
        <f aca="false">155/200</f>
        <v>0.775</v>
      </c>
      <c r="H2" s="314" t="n">
        <f aca="false">99/145</f>
        <v>0.682758620689655</v>
      </c>
      <c r="I2" s="315" t="n">
        <f aca="false">145/145</f>
        <v>1</v>
      </c>
      <c r="J2" s="315" t="n">
        <f aca="false">145/145</f>
        <v>1</v>
      </c>
      <c r="K2" s="249" t="n">
        <f aca="false">206/300</f>
        <v>0.686666666666667</v>
      </c>
      <c r="L2" s="316" t="n">
        <f aca="false">190/200</f>
        <v>0.95</v>
      </c>
      <c r="M2" s="317" t="n">
        <f aca="false">120/200</f>
        <v>0.6</v>
      </c>
      <c r="N2" s="315" t="n">
        <f aca="false">145/145</f>
        <v>1</v>
      </c>
      <c r="O2" s="211" t="n">
        <f aca="false">SUM(E2:N2)-MIN(E2:N2)</f>
        <v>7.43842528735632</v>
      </c>
      <c r="P2" s="249" t="n">
        <f aca="false">O2</f>
        <v>7.43842528735632</v>
      </c>
      <c r="Q2" s="318" t="s">
        <v>103</v>
      </c>
    </row>
    <row r="3" customFormat="false" ht="16.5" hidden="false" customHeight="true" outlineLevel="0" collapsed="false">
      <c r="A3" s="262" t="s">
        <v>446</v>
      </c>
      <c r="B3" s="255" t="n">
        <v>145</v>
      </c>
      <c r="C3" s="263" t="n">
        <v>11</v>
      </c>
      <c r="D3" s="311" t="s">
        <v>457</v>
      </c>
      <c r="E3" s="312" t="n">
        <f aca="false">397/500</f>
        <v>0.794</v>
      </c>
      <c r="F3" s="313" t="n">
        <f aca="false">370/500</f>
        <v>0.74</v>
      </c>
      <c r="G3" s="249" t="n">
        <f aca="false">136/200</f>
        <v>0.68</v>
      </c>
      <c r="H3" s="319" t="n">
        <f aca="false">126/145</f>
        <v>0.868965517241379</v>
      </c>
      <c r="I3" s="279" t="n">
        <f aca="false">19/24</f>
        <v>0.791666666666667</v>
      </c>
      <c r="J3" s="315" t="n">
        <f aca="false">145/145</f>
        <v>1</v>
      </c>
      <c r="K3" s="249" t="n">
        <f aca="false">285/300</f>
        <v>0.95</v>
      </c>
      <c r="L3" s="316" t="n">
        <f aca="false">180/200</f>
        <v>0.9</v>
      </c>
      <c r="M3" s="317" t="n">
        <f aca="false">72/200</f>
        <v>0.36</v>
      </c>
      <c r="N3" s="249" t="n">
        <f aca="false">132/300</f>
        <v>0.44</v>
      </c>
      <c r="O3" s="211" t="n">
        <f aca="false">SUM(E3:N3)-MIN(E3:N3)</f>
        <v>7.16463218390805</v>
      </c>
      <c r="P3" s="249" t="n">
        <f aca="false">O3</f>
        <v>7.16463218390805</v>
      </c>
      <c r="Q3" s="318" t="s">
        <v>103</v>
      </c>
    </row>
    <row r="4" customFormat="false" ht="16.5" hidden="false" customHeight="true" outlineLevel="0" collapsed="false">
      <c r="A4" s="320" t="s">
        <v>458</v>
      </c>
      <c r="B4" s="321" t="n">
        <v>208</v>
      </c>
      <c r="C4" s="322" t="n">
        <v>8</v>
      </c>
      <c r="D4" s="323" t="s">
        <v>459</v>
      </c>
      <c r="E4" s="312" t="n">
        <f aca="false">397/500</f>
        <v>0.794</v>
      </c>
      <c r="F4" s="313" t="n">
        <f aca="false">187/500</f>
        <v>0.374</v>
      </c>
      <c r="G4" s="314" t="n">
        <f aca="false">84/200</f>
        <v>0.42</v>
      </c>
      <c r="H4" s="319" t="n">
        <f aca="false">119/145</f>
        <v>0.820689655172414</v>
      </c>
      <c r="I4" s="324" t="n">
        <f aca="false">21/24</f>
        <v>0.875</v>
      </c>
      <c r="J4" s="325" t="n">
        <f aca="false">(97+35)/132</f>
        <v>1</v>
      </c>
      <c r="K4" s="315" t="n">
        <f aca="false">145/145</f>
        <v>1</v>
      </c>
      <c r="L4" s="317" t="n">
        <f aca="false">20/200</f>
        <v>0.1</v>
      </c>
      <c r="M4" s="317" t="n">
        <f aca="false">108/200</f>
        <v>0.54</v>
      </c>
      <c r="N4" s="249" t="n">
        <f aca="false">292/300</f>
        <v>0.973333333333333</v>
      </c>
      <c r="O4" s="211" t="n">
        <f aca="false">SUM(E4:N4)-MIN(E4:N4)</f>
        <v>6.79702298850575</v>
      </c>
      <c r="P4" s="249" t="n">
        <f aca="false">O4*1.2</f>
        <v>8.1564275862069</v>
      </c>
      <c r="Q4" s="318" t="s">
        <v>103</v>
      </c>
    </row>
    <row r="5" customFormat="false" ht="16.5" hidden="false" customHeight="true" outlineLevel="0" collapsed="false">
      <c r="A5" s="320" t="s">
        <v>460</v>
      </c>
      <c r="B5" s="321" t="n">
        <v>145</v>
      </c>
      <c r="C5" s="322" t="n">
        <v>11</v>
      </c>
      <c r="D5" s="323" t="s">
        <v>461</v>
      </c>
      <c r="E5" s="312" t="n">
        <f aca="false">330/500</f>
        <v>0.66</v>
      </c>
      <c r="F5" s="313" t="n">
        <f aca="false">293/500</f>
        <v>0.586</v>
      </c>
      <c r="G5" s="314" t="n">
        <f aca="false">80/200</f>
        <v>0.4</v>
      </c>
      <c r="H5" s="319" t="n">
        <f aca="false">136/145</f>
        <v>0.937931034482759</v>
      </c>
      <c r="I5" s="279" t="n">
        <f aca="false">20/24</f>
        <v>0.833333333333333</v>
      </c>
      <c r="J5" s="317" t="n">
        <f aca="false">87/132</f>
        <v>0.659090909090909</v>
      </c>
      <c r="K5" s="249" t="n">
        <f aca="false">209/300</f>
        <v>0.696666666666667</v>
      </c>
      <c r="L5" s="316" t="n">
        <f aca="false">170/200</f>
        <v>0.85</v>
      </c>
      <c r="M5" s="317" t="n">
        <f aca="false">100/200</f>
        <v>0.5</v>
      </c>
      <c r="N5" s="249" t="n">
        <f aca="false">147/300</f>
        <v>0.49</v>
      </c>
      <c r="O5" s="211" t="n">
        <f aca="false">SUM(E5:N5)-MIN(E5:N5)</f>
        <v>6.21302194357367</v>
      </c>
      <c r="P5" s="249" t="n">
        <f aca="false">O5</f>
        <v>6.21302194357367</v>
      </c>
      <c r="Q5" s="318"/>
    </row>
    <row r="6" customFormat="false" ht="16.5" hidden="false" customHeight="true" outlineLevel="0" collapsed="false">
      <c r="A6" s="262" t="s">
        <v>442</v>
      </c>
      <c r="B6" s="255" t="n">
        <v>171</v>
      </c>
      <c r="C6" s="263" t="n">
        <v>11</v>
      </c>
      <c r="D6" s="326" t="s">
        <v>462</v>
      </c>
      <c r="E6" s="312" t="n">
        <f aca="false">341/500</f>
        <v>0.682</v>
      </c>
      <c r="F6" s="313" t="n">
        <f aca="false">244/500</f>
        <v>0.488</v>
      </c>
      <c r="G6" s="249" t="n">
        <f aca="false">140/200</f>
        <v>0.7</v>
      </c>
      <c r="H6" s="315" t="n">
        <f aca="false">145/145</f>
        <v>1</v>
      </c>
      <c r="I6" s="315" t="n">
        <f aca="false">145/145</f>
        <v>1</v>
      </c>
      <c r="J6" s="325" t="n">
        <f aca="false">(107+25)/132</f>
        <v>1</v>
      </c>
      <c r="K6" s="249" t="n">
        <f aca="false">20/300</f>
        <v>0.0666666666666667</v>
      </c>
      <c r="L6" s="316" t="n">
        <f aca="false">180/200</f>
        <v>0.9</v>
      </c>
      <c r="M6" s="317" t="n">
        <f aca="false">29/200</f>
        <v>0.145</v>
      </c>
      <c r="N6" s="250"/>
      <c r="O6" s="211" t="n">
        <f aca="false">SUM(E6:N6)-MIN(E6:N6)</f>
        <v>5.915</v>
      </c>
      <c r="P6" s="249" t="n">
        <f aca="false">O6</f>
        <v>5.915</v>
      </c>
      <c r="Q6" s="318"/>
    </row>
    <row r="7" customFormat="false" ht="16.5" hidden="false" customHeight="true" outlineLevel="0" collapsed="false">
      <c r="A7" s="320" t="s">
        <v>463</v>
      </c>
      <c r="B7" s="321" t="n">
        <v>145</v>
      </c>
      <c r="C7" s="322" t="n">
        <v>10</v>
      </c>
      <c r="D7" s="323" t="s">
        <v>464</v>
      </c>
      <c r="E7" s="312" t="n">
        <f aca="false">353/500</f>
        <v>0.706</v>
      </c>
      <c r="F7" s="313" t="n">
        <f aca="false">234/500</f>
        <v>0.468</v>
      </c>
      <c r="G7" s="314" t="n">
        <f aca="false">100/200</f>
        <v>0.5</v>
      </c>
      <c r="H7" s="314" t="n">
        <f aca="false">85/145</f>
        <v>0.586206896551724</v>
      </c>
      <c r="I7" s="279" t="n">
        <f aca="false">19/24</f>
        <v>0.791666666666667</v>
      </c>
      <c r="J7" s="325" t="n">
        <f aca="false">(131+1)/132</f>
        <v>1</v>
      </c>
      <c r="K7" s="249" t="n">
        <f aca="false">255/300</f>
        <v>0.85</v>
      </c>
      <c r="L7" s="317" t="n">
        <f aca="false">100/200</f>
        <v>0.5</v>
      </c>
      <c r="M7" s="317" t="n">
        <f aca="false">52/200</f>
        <v>0.26</v>
      </c>
      <c r="N7" s="249" t="n">
        <f aca="false">144/300</f>
        <v>0.48</v>
      </c>
      <c r="O7" s="211" t="n">
        <f aca="false">SUM(E7:N7)-MIN(E7:N7)</f>
        <v>5.88187356321839</v>
      </c>
      <c r="P7" s="249" t="n">
        <f aca="false">O7*1.1</f>
        <v>6.47006091954023</v>
      </c>
      <c r="Q7" s="318" t="s">
        <v>103</v>
      </c>
    </row>
    <row r="8" customFormat="false" ht="16.5" hidden="false" customHeight="true" outlineLevel="0" collapsed="false">
      <c r="A8" s="320" t="s">
        <v>465</v>
      </c>
      <c r="B8" s="321" t="n">
        <v>145</v>
      </c>
      <c r="C8" s="322" t="n">
        <v>11</v>
      </c>
      <c r="D8" s="323" t="s">
        <v>466</v>
      </c>
      <c r="E8" s="312" t="n">
        <f aca="false">372/500</f>
        <v>0.744</v>
      </c>
      <c r="F8" s="313" t="n">
        <f aca="false">297/500</f>
        <v>0.594</v>
      </c>
      <c r="G8" s="314" t="n">
        <f aca="false">100/200</f>
        <v>0.5</v>
      </c>
      <c r="H8" s="314" t="n">
        <f aca="false">83/145</f>
        <v>0.572413793103448</v>
      </c>
      <c r="I8" s="280" t="n">
        <f aca="false">9/24</f>
        <v>0.375</v>
      </c>
      <c r="J8" s="279" t="n">
        <f aca="false">118/132</f>
        <v>0.893939393939394</v>
      </c>
      <c r="K8" s="315" t="n">
        <f aca="false">145/145</f>
        <v>1</v>
      </c>
      <c r="L8" s="316" t="n">
        <f aca="false">170/200</f>
        <v>0.85</v>
      </c>
      <c r="M8" s="317" t="n">
        <f aca="false">14/200</f>
        <v>0.07</v>
      </c>
      <c r="N8" s="321" t="n">
        <v>0</v>
      </c>
      <c r="O8" s="211" t="n">
        <f aca="false">SUM(E8:N8)-MIN(E8:N8)</f>
        <v>5.59935318704284</v>
      </c>
      <c r="P8" s="249" t="n">
        <f aca="false">O8</f>
        <v>5.59935318704284</v>
      </c>
      <c r="Q8" s="318"/>
    </row>
    <row r="9" customFormat="false" ht="16.5" hidden="false" customHeight="true" outlineLevel="0" collapsed="false">
      <c r="A9" s="262" t="s">
        <v>443</v>
      </c>
      <c r="B9" s="255" t="n">
        <v>145</v>
      </c>
      <c r="C9" s="263" t="n">
        <v>10</v>
      </c>
      <c r="D9" s="326" t="s">
        <v>467</v>
      </c>
      <c r="E9" s="312" t="n">
        <f aca="false">335/500</f>
        <v>0.67</v>
      </c>
      <c r="F9" s="313" t="n">
        <f aca="false">363/500</f>
        <v>0.726</v>
      </c>
      <c r="G9" s="249" t="n">
        <f aca="false">93/200</f>
        <v>0.465</v>
      </c>
      <c r="H9" s="319" t="n">
        <f aca="false">121/145</f>
        <v>0.83448275862069</v>
      </c>
      <c r="I9" s="279" t="n">
        <f aca="false">20/24</f>
        <v>0.833333333333333</v>
      </c>
      <c r="J9" s="249" t="n">
        <f aca="false">40/132</f>
        <v>0.303030303030303</v>
      </c>
      <c r="K9" s="249" t="n">
        <f aca="false">130/300</f>
        <v>0.433333333333333</v>
      </c>
      <c r="L9" s="317" t="n">
        <f aca="false">110/200</f>
        <v>0.55</v>
      </c>
      <c r="M9" s="317" t="n">
        <f aca="false">98/200</f>
        <v>0.49</v>
      </c>
      <c r="N9" s="249" t="n">
        <f aca="false">103/300</f>
        <v>0.343333333333333</v>
      </c>
      <c r="O9" s="211" t="n">
        <f aca="false">SUM(E9:N9)-MIN(E9:N9)</f>
        <v>5.34548275862069</v>
      </c>
      <c r="P9" s="249" t="n">
        <f aca="false">O9*1.1</f>
        <v>5.88003103448276</v>
      </c>
      <c r="Q9" s="318" t="s">
        <v>103</v>
      </c>
    </row>
    <row r="10" customFormat="false" ht="16.5" hidden="false" customHeight="true" outlineLevel="0" collapsed="false">
      <c r="A10" s="306" t="s">
        <v>411</v>
      </c>
      <c r="B10" s="255" t="s">
        <v>6</v>
      </c>
      <c r="C10" s="290" t="n">
        <v>11</v>
      </c>
      <c r="D10" s="311" t="s">
        <v>468</v>
      </c>
      <c r="E10" s="312" t="n">
        <f aca="false">392/500</f>
        <v>0.784</v>
      </c>
      <c r="F10" s="313" t="n">
        <f aca="false">363/500</f>
        <v>0.726</v>
      </c>
      <c r="G10" s="249" t="n">
        <f aca="false">130/200</f>
        <v>0.65</v>
      </c>
      <c r="H10" s="314" t="n">
        <f aca="false">40/145</f>
        <v>0.275862068965517</v>
      </c>
      <c r="I10" s="280" t="n">
        <f aca="false">11.5/24</f>
        <v>0.479166666666667</v>
      </c>
      <c r="J10" s="318" t="n">
        <v>0</v>
      </c>
      <c r="K10" s="249" t="n">
        <f aca="false">290/300</f>
        <v>0.966666666666667</v>
      </c>
      <c r="L10" s="317" t="n">
        <f aca="false">120/200</f>
        <v>0.6</v>
      </c>
      <c r="M10" s="317" t="n">
        <f aca="false">0/200</f>
        <v>0</v>
      </c>
      <c r="N10" s="250" t="n">
        <f aca="false">0/300</f>
        <v>0</v>
      </c>
      <c r="O10" s="211" t="n">
        <f aca="false">SUM(E10:N10)-MIN(E10:N10)</f>
        <v>4.48169540229885</v>
      </c>
      <c r="P10" s="249" t="n">
        <f aca="false">O10</f>
        <v>4.48169540229885</v>
      </c>
      <c r="Q10" s="318" t="s">
        <v>103</v>
      </c>
    </row>
    <row r="11" customFormat="false" ht="16.5" hidden="false" customHeight="true" outlineLevel="0" collapsed="false">
      <c r="A11" s="306" t="s">
        <v>449</v>
      </c>
      <c r="B11" s="255" t="s">
        <v>6</v>
      </c>
      <c r="C11" s="290" t="n">
        <v>9</v>
      </c>
      <c r="D11" s="311" t="s">
        <v>469</v>
      </c>
      <c r="E11" s="312" t="n">
        <f aca="false">372/500</f>
        <v>0.744</v>
      </c>
      <c r="F11" s="313" t="n">
        <f aca="false">197/500</f>
        <v>0.394</v>
      </c>
      <c r="G11" s="314" t="n">
        <f aca="false">100/200</f>
        <v>0.5</v>
      </c>
      <c r="H11" s="314" t="n">
        <f aca="false">40/145</f>
        <v>0.275862068965517</v>
      </c>
      <c r="I11" s="280" t="n">
        <f aca="false">16.5/24</f>
        <v>0.6875</v>
      </c>
      <c r="J11" s="250" t="n">
        <f aca="false">40/132</f>
        <v>0.303030303030303</v>
      </c>
      <c r="K11" s="249" t="n">
        <f aca="false">107/300</f>
        <v>0.356666666666667</v>
      </c>
      <c r="L11" s="317" t="n">
        <f aca="false">40/200</f>
        <v>0.2</v>
      </c>
      <c r="M11" s="317" t="n">
        <f aca="false">76/200</f>
        <v>0.38</v>
      </c>
      <c r="N11" s="249" t="n">
        <f aca="false">142/300</f>
        <v>0.473333333333333</v>
      </c>
      <c r="O11" s="211" t="n">
        <f aca="false">SUM(E11:N11)-MIN(E11:N11)</f>
        <v>4.11439237199582</v>
      </c>
      <c r="P11" s="249" t="n">
        <f aca="false">O11*1.2</f>
        <v>4.93727084639498</v>
      </c>
      <c r="Q11" s="318" t="s">
        <v>103</v>
      </c>
    </row>
    <row r="12" customFormat="false" ht="16.5" hidden="false" customHeight="true" outlineLevel="0" collapsed="false">
      <c r="A12" s="259" t="s">
        <v>430</v>
      </c>
      <c r="B12" s="321" t="s">
        <v>6</v>
      </c>
      <c r="C12" s="322" t="n">
        <v>9</v>
      </c>
      <c r="D12" s="323" t="s">
        <v>470</v>
      </c>
      <c r="E12" s="312" t="n">
        <f aca="false">372/500</f>
        <v>0.744</v>
      </c>
      <c r="F12" s="313" t="n">
        <f aca="false">258/500</f>
        <v>0.516</v>
      </c>
      <c r="G12" s="314" t="n">
        <f aca="false">89/200</f>
        <v>0.445</v>
      </c>
      <c r="H12" s="314" t="n">
        <f aca="false">20/145</f>
        <v>0.137931034482759</v>
      </c>
      <c r="I12" s="280" t="n">
        <f aca="false">11/24</f>
        <v>0.458333333333333</v>
      </c>
      <c r="J12" s="249" t="n">
        <f aca="false">22/132</f>
        <v>0.166666666666667</v>
      </c>
      <c r="K12" s="249" t="n">
        <f aca="false">135/300</f>
        <v>0.45</v>
      </c>
      <c r="L12" s="317" t="n">
        <f aca="false">110/200</f>
        <v>0.55</v>
      </c>
      <c r="M12" s="317" t="n">
        <f aca="false">30/200</f>
        <v>0.15</v>
      </c>
      <c r="N12" s="249" t="n">
        <f aca="false">178/300</f>
        <v>0.593333333333333</v>
      </c>
      <c r="O12" s="211" t="n">
        <f aca="false">SUM(E12:N12)-MIN(E12:N12)</f>
        <v>4.07333333333333</v>
      </c>
      <c r="P12" s="249" t="n">
        <f aca="false">O12*1.2</f>
        <v>4.888</v>
      </c>
      <c r="Q12" s="318"/>
    </row>
    <row r="13" customFormat="false" ht="16.5" hidden="false" customHeight="true" outlineLevel="0" collapsed="false">
      <c r="A13" s="259" t="s">
        <v>471</v>
      </c>
      <c r="B13" s="321" t="s">
        <v>6</v>
      </c>
      <c r="C13" s="322" t="n">
        <v>10</v>
      </c>
      <c r="D13" s="327" t="s">
        <v>472</v>
      </c>
      <c r="E13" s="312" t="n">
        <f aca="false">372/500</f>
        <v>0.744</v>
      </c>
      <c r="F13" s="313" t="n">
        <f aca="false">240/500</f>
        <v>0.48</v>
      </c>
      <c r="G13" s="314" t="n">
        <f aca="false">60/200</f>
        <v>0.3</v>
      </c>
      <c r="H13" s="314" t="n">
        <f aca="false">13/145</f>
        <v>0.0896551724137931</v>
      </c>
      <c r="I13" s="280" t="n">
        <f aca="false">14/24</f>
        <v>0.583333333333333</v>
      </c>
      <c r="J13" s="249" t="n">
        <f aca="false">43/132</f>
        <v>0.325757575757576</v>
      </c>
      <c r="K13" s="249" t="n">
        <f aca="false">103/300</f>
        <v>0.343333333333333</v>
      </c>
      <c r="L13" s="317" t="n">
        <f aca="false">120/200</f>
        <v>0.6</v>
      </c>
      <c r="M13" s="317" t="n">
        <f aca="false">38/200</f>
        <v>0.19</v>
      </c>
      <c r="N13" s="249" t="n">
        <f aca="false">89/300</f>
        <v>0.296666666666667</v>
      </c>
      <c r="O13" s="211" t="n">
        <f aca="false">SUM(E13:N13)-MIN(E13:N13)</f>
        <v>3.86309090909091</v>
      </c>
      <c r="P13" s="249" t="n">
        <f aca="false">O13*1.1</f>
        <v>4.2494</v>
      </c>
      <c r="Q13" s="318"/>
    </row>
    <row r="14" customFormat="false" ht="16.5" hidden="false" customHeight="true" outlineLevel="0" collapsed="false">
      <c r="A14" s="306" t="s">
        <v>445</v>
      </c>
      <c r="B14" s="255" t="s">
        <v>6</v>
      </c>
      <c r="C14" s="290" t="n">
        <v>10</v>
      </c>
      <c r="D14" s="311" t="s">
        <v>473</v>
      </c>
      <c r="E14" s="312" t="n">
        <f aca="false">298/500</f>
        <v>0.596</v>
      </c>
      <c r="F14" s="313" t="n">
        <f aca="false">260/500</f>
        <v>0.52</v>
      </c>
      <c r="G14" s="249" t="n">
        <f aca="false">35/200</f>
        <v>0.175</v>
      </c>
      <c r="H14" s="314" t="n">
        <f aca="false">13/145</f>
        <v>0.0896551724137931</v>
      </c>
      <c r="I14" s="321" t="n">
        <v>0</v>
      </c>
      <c r="J14" s="249" t="n">
        <f aca="false">81/132</f>
        <v>0.613636363636364</v>
      </c>
      <c r="K14" s="315" t="n">
        <f aca="false">145/145</f>
        <v>1</v>
      </c>
      <c r="L14" s="317" t="n">
        <f aca="false">35/200</f>
        <v>0.175</v>
      </c>
      <c r="M14" s="317" t="n">
        <f aca="false">98/200</f>
        <v>0.49</v>
      </c>
      <c r="N14" s="321" t="n">
        <v>0</v>
      </c>
      <c r="O14" s="211" t="n">
        <f aca="false">SUM(E14:N14)-MIN(E14:N14)</f>
        <v>3.65929153605016</v>
      </c>
      <c r="P14" s="249" t="n">
        <f aca="false">O14*1.1</f>
        <v>4.02522068965517</v>
      </c>
      <c r="Q14" s="318"/>
    </row>
    <row r="15" customFormat="false" ht="16.5" hidden="false" customHeight="true" outlineLevel="0" collapsed="false">
      <c r="A15" s="259" t="s">
        <v>474</v>
      </c>
      <c r="B15" s="321" t="n">
        <v>145</v>
      </c>
      <c r="C15" s="322" t="n">
        <v>11</v>
      </c>
      <c r="D15" s="323" t="s">
        <v>475</v>
      </c>
      <c r="E15" s="312" t="n">
        <f aca="false">332/500</f>
        <v>0.664</v>
      </c>
      <c r="F15" s="313" t="n">
        <f aca="false">255/500</f>
        <v>0.51</v>
      </c>
      <c r="G15" s="314" t="n">
        <f aca="false">24/200</f>
        <v>0.12</v>
      </c>
      <c r="H15" s="314" t="n">
        <f aca="false">66/145</f>
        <v>0.455172413793104</v>
      </c>
      <c r="I15" s="279" t="n">
        <f aca="false">19/24</f>
        <v>0.791666666666667</v>
      </c>
      <c r="J15" s="317" t="n">
        <f aca="false">93/132</f>
        <v>0.704545454545455</v>
      </c>
      <c r="K15" s="321" t="n">
        <v>0</v>
      </c>
      <c r="L15" s="321" t="n">
        <v>0</v>
      </c>
      <c r="M15" s="321" t="n">
        <v>0</v>
      </c>
      <c r="N15" s="321" t="n">
        <v>0</v>
      </c>
      <c r="O15" s="211" t="n">
        <f aca="false">SUM(E15:N15)-MIN(E15:N15)</f>
        <v>3.24538453500522</v>
      </c>
      <c r="P15" s="249" t="n">
        <f aca="false">O15</f>
        <v>3.24538453500522</v>
      </c>
      <c r="Q15" s="318"/>
    </row>
    <row r="16" customFormat="false" ht="16.5" hidden="false" customHeight="true" outlineLevel="0" collapsed="false">
      <c r="A16" s="320" t="s">
        <v>476</v>
      </c>
      <c r="B16" s="321" t="n">
        <v>145</v>
      </c>
      <c r="C16" s="322" t="n">
        <v>10</v>
      </c>
      <c r="D16" s="323" t="s">
        <v>477</v>
      </c>
      <c r="E16" s="312" t="n">
        <f aca="false">344/500</f>
        <v>0.688</v>
      </c>
      <c r="F16" s="313" t="n">
        <f aca="false">240/500</f>
        <v>0.48</v>
      </c>
      <c r="G16" s="314" t="n">
        <v>0</v>
      </c>
      <c r="H16" s="314" t="n">
        <f aca="false">12/145</f>
        <v>0.0827586206896552</v>
      </c>
      <c r="I16" s="280" t="n">
        <f aca="false">15/24</f>
        <v>0.625</v>
      </c>
      <c r="J16" s="249" t="n">
        <f aca="false">24/132</f>
        <v>0.181818181818182</v>
      </c>
      <c r="K16" s="249" t="n">
        <f aca="false">123/300</f>
        <v>0.41</v>
      </c>
      <c r="L16" s="317" t="n">
        <f aca="false">5/200</f>
        <v>0.025</v>
      </c>
      <c r="M16" s="321" t="n">
        <v>0</v>
      </c>
      <c r="N16" s="321" t="n">
        <v>0</v>
      </c>
      <c r="O16" s="211" t="n">
        <f aca="false">SUM(E16:N16)-MIN(E16:N16)</f>
        <v>2.49257680250784</v>
      </c>
      <c r="P16" s="249" t="n">
        <f aca="false">O16*1.1</f>
        <v>2.74183448275862</v>
      </c>
      <c r="Q16" s="318"/>
    </row>
    <row r="17" customFormat="false" ht="16.5" hidden="false" customHeight="true" outlineLevel="0" collapsed="false">
      <c r="A17" s="320" t="s">
        <v>478</v>
      </c>
      <c r="B17" s="321" t="n">
        <v>145</v>
      </c>
      <c r="C17" s="322" t="n">
        <v>11</v>
      </c>
      <c r="D17" s="323" t="s">
        <v>479</v>
      </c>
      <c r="E17" s="312" t="n">
        <f aca="false">341/500</f>
        <v>0.682</v>
      </c>
      <c r="F17" s="313" t="n">
        <f aca="false">327/500</f>
        <v>0.654</v>
      </c>
      <c r="G17" s="314" t="n">
        <f aca="false">59/200</f>
        <v>0.295</v>
      </c>
      <c r="H17" s="321" t="n">
        <v>0</v>
      </c>
      <c r="I17" s="321" t="n">
        <v>0</v>
      </c>
      <c r="J17" s="321" t="n">
        <v>0</v>
      </c>
      <c r="K17" s="321" t="n">
        <v>0</v>
      </c>
      <c r="L17" s="321" t="n">
        <v>0</v>
      </c>
      <c r="M17" s="321" t="n">
        <v>0</v>
      </c>
      <c r="N17" s="321" t="n">
        <v>0</v>
      </c>
      <c r="O17" s="211" t="n">
        <f aca="false">SUM(E17:N17)-MIN(E17:N17)</f>
        <v>1.631</v>
      </c>
      <c r="P17" s="249" t="n">
        <f aca="false">O17</f>
        <v>1.631</v>
      </c>
      <c r="Q17" s="318"/>
    </row>
    <row r="18" customFormat="false" ht="16.5" hidden="false" customHeight="true" outlineLevel="0" collapsed="false">
      <c r="A18" s="320" t="s">
        <v>480</v>
      </c>
      <c r="B18" s="321" t="n">
        <v>171</v>
      </c>
      <c r="C18" s="322" t="n">
        <v>8</v>
      </c>
      <c r="D18" s="328" t="s">
        <v>481</v>
      </c>
      <c r="E18" s="312" t="n">
        <f aca="false">323/500</f>
        <v>0.646</v>
      </c>
      <c r="F18" s="313" t="n">
        <f aca="false">250/500</f>
        <v>0.5</v>
      </c>
      <c r="G18" s="314" t="n">
        <f aca="false">9/200</f>
        <v>0.045</v>
      </c>
      <c r="H18" s="321" t="n">
        <f aca="false">0/145</f>
        <v>0</v>
      </c>
      <c r="I18" s="246" t="n">
        <f aca="false">9/24</f>
        <v>0.375</v>
      </c>
      <c r="J18" s="321" t="n">
        <v>0</v>
      </c>
      <c r="K18" s="321" t="n">
        <v>0</v>
      </c>
      <c r="L18" s="321" t="n">
        <v>0</v>
      </c>
      <c r="M18" s="321" t="n">
        <v>0</v>
      </c>
      <c r="N18" s="321" t="n">
        <v>0</v>
      </c>
      <c r="O18" s="211" t="n">
        <f aca="false">SUM(E18:N18)-MIN(E18:N18)</f>
        <v>1.566</v>
      </c>
      <c r="P18" s="249" t="n">
        <f aca="false">O18*1.2</f>
        <v>1.8792</v>
      </c>
      <c r="Q18" s="318"/>
    </row>
    <row r="19" customFormat="false" ht="16.5" hidden="false" customHeight="true" outlineLevel="0" collapsed="false">
      <c r="A19" s="320" t="s">
        <v>482</v>
      </c>
      <c r="B19" s="321" t="s">
        <v>483</v>
      </c>
      <c r="C19" s="322" t="n">
        <v>9</v>
      </c>
      <c r="D19" s="323" t="s">
        <v>484</v>
      </c>
      <c r="E19" s="312" t="n">
        <f aca="false">330/500</f>
        <v>0.66</v>
      </c>
      <c r="F19" s="313" t="n">
        <f aca="false">200/500</f>
        <v>0.4</v>
      </c>
      <c r="G19" s="314" t="n">
        <v>0</v>
      </c>
      <c r="H19" s="321" t="n">
        <v>0</v>
      </c>
      <c r="I19" s="321" t="n">
        <v>0</v>
      </c>
      <c r="J19" s="321" t="n">
        <v>0</v>
      </c>
      <c r="K19" s="321" t="n">
        <v>0</v>
      </c>
      <c r="L19" s="321" t="n">
        <v>0</v>
      </c>
      <c r="M19" s="321" t="n">
        <v>0</v>
      </c>
      <c r="N19" s="321" t="n">
        <v>0</v>
      </c>
      <c r="O19" s="211" t="n">
        <f aca="false">SUM(E19:N19)-MIN(E19:N19)</f>
        <v>1.06</v>
      </c>
      <c r="P19" s="249" t="n">
        <f aca="false">O19*1.2</f>
        <v>1.272</v>
      </c>
      <c r="Q19" s="318"/>
    </row>
  </sheetData>
  <autoFilter ref="A1:Q1"/>
  <hyperlinks>
    <hyperlink ref="D4" r:id="rId2" display="a.i.kovrigin@gmail.com"/>
    <hyperlink ref="D5" r:id="rId3" display="filkinkuiv@gmail.com"/>
    <hyperlink ref="D7" r:id="rId4" display="nikermax@ukr.net"/>
    <hyperlink ref="D8" r:id="rId5" display="vanya.ramik@gmail.com"/>
    <hyperlink ref="D12" r:id="rId6" display="antvakhitov@gmail.com"/>
    <hyperlink ref="D15" r:id="rId7" display="denis.shcherbak@gmail.com"/>
    <hyperlink ref="D16" r:id="rId8" display="ole.bilyk@gmail.com"/>
    <hyperlink ref="D17" r:id="rId9" display="veronika.netch@gmail.com"/>
    <hyperlink ref="D19" r:id="rId10" display="astopchatyy@gmail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1"/>
  <legacyDrawing r:id="rId1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8"/>
  <sheetViews>
    <sheetView showFormulas="false" showGridLines="true" showRowColHeaders="true" showZeros="true" rightToLeft="false" tabSelected="false" showOutlineSymbols="true" defaultGridColor="true" view="normal" topLeftCell="A4" colorId="64" zoomScale="150" zoomScaleNormal="150" zoomScalePageLayoutView="100" workbookViewId="0">
      <selection pane="topLeft" activeCell="O1" activeCellId="0" sqref="O1"/>
    </sheetView>
  </sheetViews>
  <sheetFormatPr defaultColWidth="9.15625" defaultRowHeight="16.5" zeroHeight="false" outlineLevelRow="0" outlineLevelCol="0"/>
  <cols>
    <col collapsed="false" customWidth="true" hidden="false" outlineLevel="0" max="1" min="1" style="286" width="35"/>
    <col collapsed="false" customWidth="true" hidden="false" outlineLevel="0" max="2" min="2" style="250" width="3.99"/>
    <col collapsed="false" customWidth="true" hidden="false" outlineLevel="0" max="3" min="3" style="250" width="3.86"/>
    <col collapsed="false" customWidth="true" hidden="true" outlineLevel="0" max="4" min="4" style="250" width="40.15"/>
    <col collapsed="false" customWidth="true" hidden="false" outlineLevel="0" max="6" min="5" style="250" width="6.71"/>
    <col collapsed="false" customWidth="true" hidden="false" outlineLevel="0" max="8" min="7" style="318" width="6.71"/>
    <col collapsed="false" customWidth="true" hidden="false" outlineLevel="0" max="9" min="9" style="286" width="6.71"/>
    <col collapsed="false" customWidth="true" hidden="false" outlineLevel="0" max="10" min="10" style="318" width="6.71"/>
    <col collapsed="false" customWidth="true" hidden="false" outlineLevel="0" max="11" min="11" style="250" width="6.71"/>
    <col collapsed="false" customWidth="true" hidden="false" outlineLevel="0" max="13" min="12" style="318" width="6.71"/>
    <col collapsed="false" customWidth="true" hidden="false" outlineLevel="0" max="14" min="14" style="250" width="7.57"/>
    <col collapsed="false" customWidth="true" hidden="false" outlineLevel="0" max="15" min="15" style="318" width="6.71"/>
    <col collapsed="false" customWidth="true" hidden="false" outlineLevel="0" max="16" min="16" style="250" width="6.71"/>
    <col collapsed="false" customWidth="false" hidden="false" outlineLevel="0" max="1024" min="17" style="318" width="9.14"/>
  </cols>
  <sheetData>
    <row r="1" customFormat="false" ht="61.5" hidden="false" customHeight="true" outlineLevel="0" collapsed="false">
      <c r="A1" s="205" t="s">
        <v>119</v>
      </c>
      <c r="B1" s="204" t="s">
        <v>2</v>
      </c>
      <c r="C1" s="204" t="s">
        <v>1</v>
      </c>
      <c r="D1" s="310"/>
      <c r="E1" s="205" t="s">
        <v>351</v>
      </c>
      <c r="F1" s="205" t="s">
        <v>352</v>
      </c>
      <c r="G1" s="206" t="s">
        <v>326</v>
      </c>
      <c r="H1" s="206" t="s">
        <v>262</v>
      </c>
      <c r="I1" s="205" t="s">
        <v>328</v>
      </c>
      <c r="J1" s="206" t="s">
        <v>485</v>
      </c>
      <c r="K1" s="206" t="s">
        <v>452</v>
      </c>
      <c r="L1" s="206" t="s">
        <v>486</v>
      </c>
      <c r="M1" s="206" t="s">
        <v>454</v>
      </c>
      <c r="N1" s="206" t="s">
        <v>487</v>
      </c>
      <c r="O1" s="206" t="s">
        <v>397</v>
      </c>
      <c r="P1" s="206" t="s">
        <v>3</v>
      </c>
      <c r="Q1" s="206" t="s">
        <v>4</v>
      </c>
    </row>
    <row r="2" customFormat="false" ht="16.5" hidden="false" customHeight="true" outlineLevel="0" collapsed="false">
      <c r="A2" s="329" t="s">
        <v>480</v>
      </c>
      <c r="B2" s="246" t="n">
        <v>171</v>
      </c>
      <c r="C2" s="330" t="n">
        <v>9</v>
      </c>
      <c r="D2" s="327" t="s">
        <v>488</v>
      </c>
      <c r="E2" s="280" t="n">
        <f aca="false">151/300</f>
        <v>0.503333333333333</v>
      </c>
      <c r="F2" s="280" t="n">
        <f aca="false">122/300</f>
        <v>0.406666666666667</v>
      </c>
      <c r="G2" s="280" t="n">
        <f aca="false">52/82</f>
        <v>0.634146341463415</v>
      </c>
      <c r="H2" s="331" t="n">
        <v>1</v>
      </c>
      <c r="I2" s="331" t="n">
        <v>1</v>
      </c>
      <c r="J2" s="331" t="n">
        <v>1</v>
      </c>
      <c r="K2" s="331" t="n">
        <v>1</v>
      </c>
      <c r="L2" s="331" t="n">
        <v>1</v>
      </c>
      <c r="M2" s="331" t="n">
        <v>1</v>
      </c>
      <c r="N2" s="331" t="n">
        <v>1</v>
      </c>
      <c r="O2" s="211" t="n">
        <f aca="false">SUM(E2:N2)-MIN(E2:N2)</f>
        <v>8.13747967479675</v>
      </c>
      <c r="P2" s="249" t="n">
        <f aca="false">O2*1.2</f>
        <v>9.7649756097561</v>
      </c>
      <c r="Q2" s="318" t="s">
        <v>103</v>
      </c>
    </row>
    <row r="3" customFormat="false" ht="16.5" hidden="false" customHeight="true" outlineLevel="0" collapsed="false">
      <c r="A3" s="329" t="s">
        <v>489</v>
      </c>
      <c r="B3" s="290" t="n">
        <v>208</v>
      </c>
      <c r="C3" s="260" t="n">
        <v>9</v>
      </c>
      <c r="D3" s="327" t="s">
        <v>459</v>
      </c>
      <c r="E3" s="280" t="n">
        <f aca="false">265/300</f>
        <v>0.883333333333333</v>
      </c>
      <c r="F3" s="280" t="n">
        <f aca="false">220/300</f>
        <v>0.733333333333333</v>
      </c>
      <c r="G3" s="280" t="n">
        <f aca="false">60/82</f>
        <v>0.731707317073171</v>
      </c>
      <c r="H3" s="332" t="n">
        <f aca="false">4/13</f>
        <v>0.307692307692308</v>
      </c>
      <c r="I3" s="279" t="n">
        <f aca="false">23/24</f>
        <v>0.958333333333333</v>
      </c>
      <c r="J3" s="332" t="n">
        <f aca="false">20/29</f>
        <v>0.689655172413793</v>
      </c>
      <c r="K3" s="331" t="n">
        <v>1</v>
      </c>
      <c r="L3" s="331" t="n">
        <v>1</v>
      </c>
      <c r="M3" s="316" t="n">
        <f aca="false">185/200</f>
        <v>0.925</v>
      </c>
      <c r="N3" s="290" t="n">
        <f aca="false">0/13</f>
        <v>0</v>
      </c>
      <c r="O3" s="211" t="n">
        <f aca="false">SUM(E3:N3)-MIN(E3:N3)</f>
        <v>7.22905479717927</v>
      </c>
      <c r="P3" s="249" t="n">
        <f aca="false">O3*1.2</f>
        <v>8.67486575661513</v>
      </c>
      <c r="Q3" s="318" t="s">
        <v>103</v>
      </c>
    </row>
    <row r="4" customFormat="false" ht="16.5" hidden="false" customHeight="true" outlineLevel="0" collapsed="false">
      <c r="A4" s="329" t="s">
        <v>463</v>
      </c>
      <c r="B4" s="246" t="n">
        <v>145</v>
      </c>
      <c r="C4" s="330" t="n">
        <v>11</v>
      </c>
      <c r="D4" s="327" t="s">
        <v>464</v>
      </c>
      <c r="E4" s="280" t="n">
        <f aca="false">260/300</f>
        <v>0.866666666666667</v>
      </c>
      <c r="F4" s="280" t="n">
        <f aca="false">126/300</f>
        <v>0.42</v>
      </c>
      <c r="G4" s="280" t="n">
        <f aca="false">58/82</f>
        <v>0.707317073170732</v>
      </c>
      <c r="H4" s="333" t="n">
        <v>1</v>
      </c>
      <c r="I4" s="280" t="n">
        <f aca="false">15/24</f>
        <v>0.625</v>
      </c>
      <c r="J4" s="331" t="n">
        <v>1</v>
      </c>
      <c r="K4" s="331" t="n">
        <v>1</v>
      </c>
      <c r="L4" s="331" t="n">
        <v>1</v>
      </c>
      <c r="M4" s="331" t="n">
        <v>1</v>
      </c>
      <c r="N4" s="331" t="n">
        <v>1</v>
      </c>
      <c r="O4" s="211" t="n">
        <f aca="false">SUM(E4:N4)-MIN(E4:N4)</f>
        <v>8.1989837398374</v>
      </c>
      <c r="P4" s="249" t="n">
        <f aca="false">O4</f>
        <v>8.1989837398374</v>
      </c>
      <c r="Q4" s="318" t="s">
        <v>103</v>
      </c>
    </row>
    <row r="5" customFormat="false" ht="16.5" hidden="false" customHeight="true" outlineLevel="0" collapsed="false">
      <c r="A5" s="329" t="s">
        <v>490</v>
      </c>
      <c r="B5" s="246" t="n">
        <v>171</v>
      </c>
      <c r="C5" s="330" t="n">
        <v>8</v>
      </c>
      <c r="D5" s="327" t="s">
        <v>491</v>
      </c>
      <c r="E5" s="280" t="n">
        <f aca="false">112/300</f>
        <v>0.373333333333333</v>
      </c>
      <c r="F5" s="280" t="n">
        <f aca="false">101/300</f>
        <v>0.336666666666667</v>
      </c>
      <c r="G5" s="280" t="n">
        <f aca="false">44/82</f>
        <v>0.536585365853659</v>
      </c>
      <c r="H5" s="332" t="n">
        <f aca="false">7/13</f>
        <v>0.538461538461538</v>
      </c>
      <c r="I5" s="331" t="n">
        <v>1</v>
      </c>
      <c r="J5" s="331" t="n">
        <v>1</v>
      </c>
      <c r="K5" s="331" t="n">
        <v>1</v>
      </c>
      <c r="L5" s="331" t="n">
        <v>1</v>
      </c>
      <c r="M5" s="334" t="n">
        <f aca="false">2/200</f>
        <v>0.01</v>
      </c>
      <c r="N5" s="331" t="n">
        <v>1</v>
      </c>
      <c r="O5" s="211" t="n">
        <f aca="false">SUM(E5:N5)-MIN(E5:N5)</f>
        <v>6.7850469043152</v>
      </c>
      <c r="P5" s="249" t="n">
        <f aca="false">O5*1.2</f>
        <v>8.14205628517824</v>
      </c>
      <c r="Q5" s="318" t="s">
        <v>103</v>
      </c>
    </row>
    <row r="6" customFormat="false" ht="16.5" hidden="false" customHeight="true" outlineLevel="0" collapsed="false">
      <c r="A6" s="329" t="s">
        <v>476</v>
      </c>
      <c r="B6" s="246" t="n">
        <v>145</v>
      </c>
      <c r="C6" s="330" t="n">
        <v>11</v>
      </c>
      <c r="D6" s="327" t="s">
        <v>477</v>
      </c>
      <c r="E6" s="280" t="n">
        <f aca="false">209/300</f>
        <v>0.696666666666667</v>
      </c>
      <c r="F6" s="280" t="n">
        <f aca="false">151/300</f>
        <v>0.503333333333333</v>
      </c>
      <c r="G6" s="331" t="n">
        <v>1</v>
      </c>
      <c r="H6" s="332" t="n">
        <f aca="false">12/13</f>
        <v>0.923076923076923</v>
      </c>
      <c r="I6" s="331" t="n">
        <v>1</v>
      </c>
      <c r="J6" s="279" t="n">
        <f aca="false">26/29</f>
        <v>0.896551724137931</v>
      </c>
      <c r="K6" s="319" t="n">
        <f aca="false">245/300</f>
        <v>0.816666666666667</v>
      </c>
      <c r="L6" s="316" t="n">
        <f aca="false">175/200</f>
        <v>0.875</v>
      </c>
      <c r="M6" s="316" t="n">
        <f aca="false">175/200</f>
        <v>0.875</v>
      </c>
      <c r="N6" s="331" t="n">
        <v>1</v>
      </c>
      <c r="O6" s="211" t="n">
        <f aca="false">SUM(E6:N6)-MIN(E6:N6)</f>
        <v>8.08296198054819</v>
      </c>
      <c r="P6" s="249" t="n">
        <f aca="false">O6</f>
        <v>8.08296198054819</v>
      </c>
      <c r="Q6" s="318" t="s">
        <v>103</v>
      </c>
    </row>
    <row r="7" customFormat="false" ht="16.5" hidden="false" customHeight="true" outlineLevel="0" collapsed="false">
      <c r="A7" s="329" t="s">
        <v>492</v>
      </c>
      <c r="B7" s="246" t="n">
        <v>145</v>
      </c>
      <c r="C7" s="330" t="n">
        <v>11</v>
      </c>
      <c r="D7" s="327" t="s">
        <v>467</v>
      </c>
      <c r="E7" s="280" t="n">
        <f aca="false">265/300</f>
        <v>0.883333333333333</v>
      </c>
      <c r="F7" s="280" t="n">
        <f aca="false">147/300</f>
        <v>0.49</v>
      </c>
      <c r="G7" s="280" t="n">
        <f aca="false">56/82</f>
        <v>0.682926829268293</v>
      </c>
      <c r="H7" s="332" t="n">
        <f aca="false">9/13</f>
        <v>0.692307692307692</v>
      </c>
      <c r="I7" s="280" t="n">
        <f aca="false">16/24</f>
        <v>0.666666666666667</v>
      </c>
      <c r="J7" s="331" t="n">
        <v>1</v>
      </c>
      <c r="K7" s="331" t="n">
        <v>1</v>
      </c>
      <c r="L7" s="331" t="n">
        <v>1</v>
      </c>
      <c r="M7" s="331" t="n">
        <v>1</v>
      </c>
      <c r="N7" s="331" t="n">
        <v>1</v>
      </c>
      <c r="O7" s="211" t="n">
        <f aca="false">SUM(E7:N7)-MIN(E7:N7)</f>
        <v>7.92523452157598</v>
      </c>
      <c r="P7" s="249" t="n">
        <f aca="false">O7</f>
        <v>7.92523452157598</v>
      </c>
    </row>
    <row r="8" customFormat="false" ht="16.5" hidden="false" customHeight="true" outlineLevel="0" collapsed="false">
      <c r="A8" s="329" t="s">
        <v>493</v>
      </c>
      <c r="B8" s="246" t="n">
        <v>171</v>
      </c>
      <c r="C8" s="330" t="n">
        <v>10</v>
      </c>
      <c r="D8" s="327" t="s">
        <v>494</v>
      </c>
      <c r="E8" s="280" t="n">
        <f aca="false">70/300</f>
        <v>0.233333333333333</v>
      </c>
      <c r="F8" s="280" t="n">
        <f aca="false">111/300</f>
        <v>0.37</v>
      </c>
      <c r="G8" s="280" t="n">
        <f aca="false">20/82</f>
        <v>0.24390243902439</v>
      </c>
      <c r="H8" s="332" t="n">
        <f aca="false">6/13</f>
        <v>0.461538461538462</v>
      </c>
      <c r="I8" s="332" t="n">
        <f aca="false">13.5/24</f>
        <v>0.5625</v>
      </c>
      <c r="J8" s="331" t="n">
        <v>1</v>
      </c>
      <c r="K8" s="331" t="n">
        <v>1</v>
      </c>
      <c r="L8" s="331" t="n">
        <v>1</v>
      </c>
      <c r="M8" s="331" t="n">
        <v>1</v>
      </c>
      <c r="N8" s="331" t="n">
        <v>1</v>
      </c>
      <c r="O8" s="211" t="n">
        <f aca="false">SUM(E8:N8)-MIN(E8:N8)</f>
        <v>6.63794090056285</v>
      </c>
      <c r="P8" s="249" t="n">
        <f aca="false">O8*1.1</f>
        <v>7.30173499061914</v>
      </c>
      <c r="Q8" s="318" t="s">
        <v>103</v>
      </c>
    </row>
    <row r="9" customFormat="false" ht="16.5" hidden="false" customHeight="true" outlineLevel="0" collapsed="false">
      <c r="A9" s="329" t="s">
        <v>495</v>
      </c>
      <c r="B9" s="246" t="n">
        <v>145</v>
      </c>
      <c r="C9" s="330" t="n">
        <v>10</v>
      </c>
      <c r="D9" s="327" t="s">
        <v>496</v>
      </c>
      <c r="E9" s="280" t="n">
        <f aca="false">163/300</f>
        <v>0.543333333333333</v>
      </c>
      <c r="F9" s="280" t="n">
        <f aca="false">103/300</f>
        <v>0.343333333333333</v>
      </c>
      <c r="G9" s="280" t="n">
        <f aca="false">46/82</f>
        <v>0.560975609756098</v>
      </c>
      <c r="H9" s="332" t="n">
        <f aca="false">6/13</f>
        <v>0.461538461538462</v>
      </c>
      <c r="I9" s="279" t="n">
        <f aca="false">20/24</f>
        <v>0.833333333333333</v>
      </c>
      <c r="J9" s="280" t="n">
        <f aca="false">5/29</f>
        <v>0.172413793103448</v>
      </c>
      <c r="K9" s="280" t="n">
        <f aca="false">160/300</f>
        <v>0.533333333333333</v>
      </c>
      <c r="L9" s="331" t="n">
        <v>1</v>
      </c>
      <c r="M9" s="290" t="n">
        <f aca="false">0/13</f>
        <v>0</v>
      </c>
      <c r="N9" s="246" t="n">
        <f aca="false">195/200</f>
        <v>0.975</v>
      </c>
      <c r="O9" s="211" t="n">
        <f aca="false">SUM(E9:N9)-MIN(E9:N9)</f>
        <v>5.42326119773134</v>
      </c>
      <c r="P9" s="249" t="n">
        <f aca="false">O9*1.1</f>
        <v>5.96558731750448</v>
      </c>
      <c r="Q9" s="318" t="s">
        <v>103</v>
      </c>
    </row>
    <row r="10" customFormat="false" ht="16.5" hidden="false" customHeight="true" outlineLevel="0" collapsed="false">
      <c r="A10" s="329" t="s">
        <v>471</v>
      </c>
      <c r="B10" s="290" t="s">
        <v>6</v>
      </c>
      <c r="C10" s="260" t="n">
        <v>11</v>
      </c>
      <c r="D10" s="327" t="s">
        <v>472</v>
      </c>
      <c r="E10" s="280" t="n">
        <f aca="false">137/300</f>
        <v>0.456666666666667</v>
      </c>
      <c r="F10" s="280" t="n">
        <f aca="false">123/300</f>
        <v>0.41</v>
      </c>
      <c r="G10" s="280" t="n">
        <f aca="false">38/82</f>
        <v>0.463414634146341</v>
      </c>
      <c r="H10" s="332" t="n">
        <f aca="false">6/13</f>
        <v>0.461538461538462</v>
      </c>
      <c r="I10" s="279" t="n">
        <f aca="false">22/24</f>
        <v>0.916666666666667</v>
      </c>
      <c r="J10" s="332" t="n">
        <f aca="false">8/29</f>
        <v>0.275862068965517</v>
      </c>
      <c r="K10" s="319" t="n">
        <f aca="false">299/300</f>
        <v>0.996666666666667</v>
      </c>
      <c r="L10" s="290" t="n">
        <f aca="false">145/200</f>
        <v>0.725</v>
      </c>
      <c r="M10" s="332" t="n">
        <f aca="false">64/200</f>
        <v>0.32</v>
      </c>
      <c r="N10" s="331" t="n">
        <v>1</v>
      </c>
      <c r="O10" s="211" t="n">
        <f aca="false">SUM(E10:N10)-MIN(E10:N10)</f>
        <v>5.7499530956848</v>
      </c>
      <c r="P10" s="249" t="n">
        <f aca="false">O10</f>
        <v>5.7499530956848</v>
      </c>
    </row>
    <row r="11" customFormat="false" ht="16.5" hidden="false" customHeight="true" outlineLevel="0" collapsed="false">
      <c r="A11" s="329" t="s">
        <v>449</v>
      </c>
      <c r="B11" s="290" t="s">
        <v>6</v>
      </c>
      <c r="C11" s="260" t="n">
        <v>10</v>
      </c>
      <c r="D11" s="327" t="s">
        <v>469</v>
      </c>
      <c r="E11" s="280" t="n">
        <f aca="false">107/300</f>
        <v>0.356666666666667</v>
      </c>
      <c r="F11" s="280" t="n">
        <f aca="false">122/300</f>
        <v>0.406666666666667</v>
      </c>
      <c r="G11" s="280" t="n">
        <f aca="false">42/82</f>
        <v>0.51219512195122</v>
      </c>
      <c r="H11" s="332" t="n">
        <f aca="false">3/13</f>
        <v>0.230769230769231</v>
      </c>
      <c r="I11" s="279" t="n">
        <f aca="false">19/24</f>
        <v>0.791666666666667</v>
      </c>
      <c r="J11" s="280" t="n">
        <f aca="false">8/29</f>
        <v>0.275862068965517</v>
      </c>
      <c r="K11" s="279" t="n">
        <f aca="false">230/300</f>
        <v>0.766666666666667</v>
      </c>
      <c r="L11" s="316" t="n">
        <f aca="false">195/200</f>
        <v>0.975</v>
      </c>
      <c r="M11" s="334" t="n">
        <f aca="false">110/200</f>
        <v>0.55</v>
      </c>
      <c r="N11" s="246" t="n">
        <f aca="false">115/200</f>
        <v>0.575</v>
      </c>
      <c r="O11" s="211" t="n">
        <f aca="false">SUM(E11:N11)-MIN(E11:N11)</f>
        <v>5.2097238575834</v>
      </c>
      <c r="P11" s="249" t="n">
        <f aca="false">O11*1.1</f>
        <v>5.73069624334175</v>
      </c>
    </row>
    <row r="12" customFormat="false" ht="16.5" hidden="false" customHeight="true" outlineLevel="0" collapsed="false">
      <c r="A12" s="329" t="s">
        <v>497</v>
      </c>
      <c r="B12" s="290" t="s">
        <v>6</v>
      </c>
      <c r="C12" s="260" t="n">
        <v>11</v>
      </c>
      <c r="D12" s="327" t="s">
        <v>472</v>
      </c>
      <c r="E12" s="280" t="n">
        <f aca="false">154/300</f>
        <v>0.513333333333333</v>
      </c>
      <c r="F12" s="280" t="n">
        <f aca="false">93/300</f>
        <v>0.31</v>
      </c>
      <c r="G12" s="280" t="n">
        <f aca="false">29/82</f>
        <v>0.353658536585366</v>
      </c>
      <c r="H12" s="332" t="n">
        <f aca="false">7/13</f>
        <v>0.538461538461538</v>
      </c>
      <c r="I12" s="332" t="n">
        <f aca="false">15/22</f>
        <v>0.681818181818182</v>
      </c>
      <c r="J12" s="332" t="n">
        <f aca="false">8/29</f>
        <v>0.275862068965517</v>
      </c>
      <c r="K12" s="331" t="n">
        <v>1</v>
      </c>
      <c r="L12" s="290" t="n">
        <f aca="false">50/200</f>
        <v>0.25</v>
      </c>
      <c r="M12" s="332" t="n">
        <f aca="false">74/200</f>
        <v>0.37</v>
      </c>
      <c r="N12" s="331" t="n">
        <v>1</v>
      </c>
      <c r="O12" s="211" t="n">
        <f aca="false">SUM(E12:N12)-MIN(E12:N12)</f>
        <v>5.04313365916394</v>
      </c>
      <c r="P12" s="249" t="n">
        <f aca="false">O12</f>
        <v>5.04313365916394</v>
      </c>
    </row>
    <row r="13" customFormat="false" ht="16.5" hidden="false" customHeight="true" outlineLevel="0" collapsed="false">
      <c r="A13" s="329" t="s">
        <v>498</v>
      </c>
      <c r="B13" s="290" t="s">
        <v>400</v>
      </c>
      <c r="C13" s="260" t="n">
        <v>10</v>
      </c>
      <c r="D13" s="327" t="s">
        <v>499</v>
      </c>
      <c r="E13" s="280" t="n">
        <f aca="false">159/300</f>
        <v>0.53</v>
      </c>
      <c r="F13" s="280" t="n">
        <f aca="false">84/300</f>
        <v>0.28</v>
      </c>
      <c r="G13" s="280" t="n">
        <f aca="false">39/82</f>
        <v>0.475609756097561</v>
      </c>
      <c r="H13" s="332" t="n">
        <f aca="false">6/13</f>
        <v>0.461538461538462</v>
      </c>
      <c r="I13" s="280" t="n">
        <f aca="false">13/24</f>
        <v>0.541666666666667</v>
      </c>
      <c r="J13" s="280" t="n">
        <f aca="false">7/29</f>
        <v>0.241379310344828</v>
      </c>
      <c r="K13" s="332" t="n">
        <f aca="false">131/300</f>
        <v>0.436666666666667</v>
      </c>
      <c r="L13" s="334" t="n">
        <f aca="false">30/200</f>
        <v>0.15</v>
      </c>
      <c r="M13" s="334" t="n">
        <f aca="false">16/200</f>
        <v>0.08</v>
      </c>
      <c r="N13" s="246" t="n">
        <f aca="false">105/200</f>
        <v>0.525</v>
      </c>
      <c r="O13" s="211" t="n">
        <f aca="false">SUM(E13:N13)-MIN(E13:N13)</f>
        <v>3.64186086131418</v>
      </c>
      <c r="P13" s="249" t="n">
        <f aca="false">O13*1.1</f>
        <v>4.0060469474456</v>
      </c>
    </row>
    <row r="14" customFormat="false" ht="16.5" hidden="false" customHeight="true" outlineLevel="0" collapsed="false">
      <c r="A14" s="329" t="s">
        <v>500</v>
      </c>
      <c r="B14" s="246" t="n">
        <v>171</v>
      </c>
      <c r="C14" s="330" t="n">
        <v>11</v>
      </c>
      <c r="D14" s="327" t="s">
        <v>501</v>
      </c>
      <c r="E14" s="280" t="n">
        <f aca="false">151/300</f>
        <v>0.503333333333333</v>
      </c>
      <c r="F14" s="280" t="n">
        <f aca="false">102/300</f>
        <v>0.34</v>
      </c>
      <c r="G14" s="280" t="n">
        <f aca="false">44/82</f>
        <v>0.536585365853659</v>
      </c>
      <c r="H14" s="332" t="n">
        <f aca="false">6/13</f>
        <v>0.461538461538462</v>
      </c>
      <c r="I14" s="279" t="n">
        <f aca="false">20/24</f>
        <v>0.833333333333333</v>
      </c>
      <c r="J14" s="280" t="n">
        <f aca="false">8/29</f>
        <v>0.275862068965517</v>
      </c>
      <c r="K14" s="280" t="n">
        <f aca="false">116/300</f>
        <v>0.386666666666667</v>
      </c>
      <c r="L14" s="290" t="n">
        <f aca="false">0/13</f>
        <v>0</v>
      </c>
      <c r="M14" s="290" t="n">
        <f aca="false">0/13</f>
        <v>0</v>
      </c>
      <c r="N14" s="290" t="n">
        <f aca="false">0/13</f>
        <v>0</v>
      </c>
      <c r="O14" s="211" t="n">
        <f aca="false">SUM(E14:N14)-MIN(E14:N14)</f>
        <v>3.33731922969097</v>
      </c>
      <c r="P14" s="249" t="n">
        <f aca="false">O14</f>
        <v>3.33731922969097</v>
      </c>
    </row>
    <row r="15" customFormat="false" ht="16.5" hidden="false" customHeight="true" outlineLevel="0" collapsed="false">
      <c r="A15" s="329" t="s">
        <v>502</v>
      </c>
      <c r="B15" s="246" t="n">
        <v>145</v>
      </c>
      <c r="C15" s="330" t="n">
        <v>9</v>
      </c>
      <c r="D15" s="327" t="s">
        <v>503</v>
      </c>
      <c r="E15" s="280" t="n">
        <f aca="false">127.5/300</f>
        <v>0.425</v>
      </c>
      <c r="F15" s="280" t="n">
        <f aca="false">55/300</f>
        <v>0.183333333333333</v>
      </c>
      <c r="G15" s="280" t="n">
        <f aca="false">20/82</f>
        <v>0.24390243902439</v>
      </c>
      <c r="H15" s="332" t="n">
        <f aca="false">6/13</f>
        <v>0.461538461538462</v>
      </c>
      <c r="I15" s="280" t="n">
        <f aca="false">5/24</f>
        <v>0.208333333333333</v>
      </c>
      <c r="J15" s="290" t="n">
        <f aca="false">0/13</f>
        <v>0</v>
      </c>
      <c r="K15" s="290" t="n">
        <f aca="false">0/13</f>
        <v>0</v>
      </c>
      <c r="L15" s="290" t="n">
        <f aca="false">0/13</f>
        <v>0</v>
      </c>
      <c r="M15" s="290" t="n">
        <f aca="false">0/13</f>
        <v>0</v>
      </c>
      <c r="N15" s="290" t="n">
        <f aca="false">0/13</f>
        <v>0</v>
      </c>
      <c r="O15" s="211" t="n">
        <f aca="false">SUM(E15:N15)-MIN(E15:N15)</f>
        <v>1.52210756722952</v>
      </c>
      <c r="P15" s="249" t="n">
        <f aca="false">O15*1.2</f>
        <v>1.82652908067542</v>
      </c>
    </row>
    <row r="16" customFormat="false" ht="16.5" hidden="false" customHeight="true" outlineLevel="0" collapsed="false">
      <c r="A16" s="335" t="s">
        <v>504</v>
      </c>
      <c r="B16" s="290" t="s">
        <v>407</v>
      </c>
      <c r="C16" s="247" t="n">
        <v>10</v>
      </c>
      <c r="D16" s="327" t="s">
        <v>505</v>
      </c>
      <c r="E16" s="280" t="n">
        <f aca="false">87/300</f>
        <v>0.29</v>
      </c>
      <c r="F16" s="280" t="n">
        <f aca="false">58/300</f>
        <v>0.193333333333333</v>
      </c>
      <c r="G16" s="280" t="n">
        <f aca="false">19/82</f>
        <v>0.231707317073171</v>
      </c>
      <c r="H16" s="332" t="n">
        <f aca="false">2/13</f>
        <v>0.153846153846154</v>
      </c>
      <c r="I16" s="290" t="n">
        <f aca="false">0/13</f>
        <v>0</v>
      </c>
      <c r="J16" s="290" t="n">
        <f aca="false">0/13</f>
        <v>0</v>
      </c>
      <c r="K16" s="290" t="n">
        <f aca="false">0/13</f>
        <v>0</v>
      </c>
      <c r="L16" s="290" t="n">
        <f aca="false">0/13</f>
        <v>0</v>
      </c>
      <c r="M16" s="290" t="n">
        <f aca="false">0/13</f>
        <v>0</v>
      </c>
      <c r="N16" s="290" t="n">
        <f aca="false">0/13</f>
        <v>0</v>
      </c>
      <c r="O16" s="211" t="n">
        <f aca="false">SUM(E16:N16)-MIN(E16:N16)</f>
        <v>0.868886804252658</v>
      </c>
      <c r="P16" s="249" t="n">
        <f aca="false">O16*1.1</f>
        <v>0.955775484677924</v>
      </c>
    </row>
    <row r="17" customFormat="false" ht="16.5" hidden="false" customHeight="true" outlineLevel="0" collapsed="false">
      <c r="A17" s="336" t="s">
        <v>506</v>
      </c>
      <c r="B17" s="290" t="s">
        <v>407</v>
      </c>
      <c r="C17" s="246" t="n">
        <v>10</v>
      </c>
      <c r="D17" s="327" t="s">
        <v>507</v>
      </c>
      <c r="E17" s="280" t="n">
        <f aca="false">84/300</f>
        <v>0.28</v>
      </c>
      <c r="F17" s="280" t="n">
        <f aca="false">55/300</f>
        <v>0.183333333333333</v>
      </c>
      <c r="G17" s="280" t="n">
        <f aca="false">32/82</f>
        <v>0.390243902439024</v>
      </c>
      <c r="H17" s="290" t="n">
        <f aca="false">0/13</f>
        <v>0</v>
      </c>
      <c r="I17" s="280"/>
      <c r="J17" s="246"/>
      <c r="K17" s="280"/>
      <c r="L17" s="334"/>
      <c r="M17" s="334"/>
      <c r="N17" s="246"/>
      <c r="O17" s="211" t="n">
        <f aca="false">SUM(E17:N17)-MIN(E17:N17)</f>
        <v>0.853577235772358</v>
      </c>
      <c r="P17" s="249" t="n">
        <f aca="false">O17*1.1</f>
        <v>0.938934959349594</v>
      </c>
    </row>
    <row r="23" customFormat="false" ht="16.5" hidden="false" customHeight="true" outlineLevel="0" collapsed="false">
      <c r="I23" s="254"/>
    </row>
    <row r="24" customFormat="false" ht="16.5" hidden="false" customHeight="true" outlineLevel="0" collapsed="false">
      <c r="I24" s="254"/>
    </row>
    <row r="25" customFormat="false" ht="16.5" hidden="false" customHeight="true" outlineLevel="0" collapsed="false">
      <c r="I25" s="254"/>
    </row>
    <row r="26" customFormat="false" ht="16.5" hidden="false" customHeight="true" outlineLevel="0" collapsed="false">
      <c r="I26" s="254"/>
    </row>
    <row r="27" customFormat="false" ht="16.5" hidden="false" customHeight="true" outlineLevel="0" collapsed="false">
      <c r="I27" s="254"/>
    </row>
    <row r="28" customFormat="false" ht="16.5" hidden="false" customHeight="true" outlineLevel="0" collapsed="false">
      <c r="I28" s="254"/>
    </row>
    <row r="29" customFormat="false" ht="16.5" hidden="false" customHeight="true" outlineLevel="0" collapsed="false">
      <c r="I29" s="254"/>
    </row>
    <row r="30" customFormat="false" ht="16.5" hidden="false" customHeight="true" outlineLevel="0" collapsed="false">
      <c r="I30" s="254"/>
    </row>
    <row r="31" customFormat="false" ht="16.5" hidden="false" customHeight="true" outlineLevel="0" collapsed="false">
      <c r="I31" s="254"/>
    </row>
    <row r="32" customFormat="false" ht="16.5" hidden="false" customHeight="true" outlineLevel="0" collapsed="false">
      <c r="I32" s="254"/>
    </row>
    <row r="33" customFormat="false" ht="16.5" hidden="false" customHeight="true" outlineLevel="0" collapsed="false">
      <c r="I33" s="254"/>
    </row>
    <row r="34" customFormat="false" ht="16.5" hidden="false" customHeight="true" outlineLevel="0" collapsed="false">
      <c r="I34" s="254"/>
    </row>
    <row r="35" customFormat="false" ht="16.5" hidden="false" customHeight="true" outlineLevel="0" collapsed="false">
      <c r="I35" s="254"/>
    </row>
    <row r="36" customFormat="false" ht="16.5" hidden="false" customHeight="true" outlineLevel="0" collapsed="false">
      <c r="I36" s="254"/>
    </row>
    <row r="37" customFormat="false" ht="16.5" hidden="false" customHeight="true" outlineLevel="0" collapsed="false">
      <c r="I37" s="254"/>
    </row>
    <row r="38" customFormat="false" ht="16.5" hidden="false" customHeight="true" outlineLevel="0" collapsed="false">
      <c r="I38" s="254"/>
    </row>
  </sheetData>
  <autoFilter ref="A1:Q17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5"/>
  <sheetViews>
    <sheetView showFormulas="false" showGridLines="true" showRowColHeaders="true" showZeros="true" rightToLeft="false" tabSelected="false" showOutlineSymbols="true" defaultGridColor="true" view="normal" topLeftCell="A8" colorId="64" zoomScale="100" zoomScaleNormal="100" zoomScalePageLayoutView="100" workbookViewId="0">
      <selection pane="topLeft" activeCell="G12" activeCellId="0" sqref="G12"/>
    </sheetView>
  </sheetViews>
  <sheetFormatPr defaultColWidth="9.15625" defaultRowHeight="15" zeroHeight="false" outlineLevelRow="0" outlineLevelCol="0"/>
  <cols>
    <col collapsed="false" customWidth="true" hidden="false" outlineLevel="0" max="1" min="1" style="10" width="22.86"/>
    <col collapsed="false" customWidth="true" hidden="false" outlineLevel="0" max="2" min="2" style="10" width="6.71"/>
    <col collapsed="false" customWidth="true" hidden="false" outlineLevel="0" max="3" min="3" style="10" width="4.57"/>
    <col collapsed="false" customWidth="true" hidden="false" outlineLevel="0" max="11" min="4" style="11" width="6.71"/>
    <col collapsed="false" customWidth="true" hidden="false" outlineLevel="0" max="12" min="12" style="10" width="6.71"/>
    <col collapsed="false" customWidth="false" hidden="false" outlineLevel="0" max="1024" min="13" style="10" width="9.14"/>
  </cols>
  <sheetData>
    <row r="1" s="15" customFormat="true" ht="15" hidden="false" customHeight="true" outlineLevel="0" collapsed="false">
      <c r="A1" s="12" t="s">
        <v>94</v>
      </c>
      <c r="B1" s="13" t="s">
        <v>2</v>
      </c>
      <c r="C1" s="13" t="s">
        <v>1</v>
      </c>
      <c r="D1" s="14" t="s">
        <v>95</v>
      </c>
      <c r="E1" s="14" t="s">
        <v>96</v>
      </c>
      <c r="F1" s="14" t="s">
        <v>97</v>
      </c>
      <c r="G1" s="14" t="s">
        <v>98</v>
      </c>
      <c r="H1" s="14" t="s">
        <v>99</v>
      </c>
      <c r="I1" s="14" t="s">
        <v>100</v>
      </c>
      <c r="J1" s="14" t="s">
        <v>101</v>
      </c>
      <c r="K1" s="14" t="s">
        <v>102</v>
      </c>
      <c r="L1" s="12" t="s">
        <v>3</v>
      </c>
      <c r="M1" s="12" t="s">
        <v>4</v>
      </c>
    </row>
    <row r="2" customFormat="false" ht="15.75" hidden="false" customHeight="false" outlineLevel="0" collapsed="false">
      <c r="A2" s="16" t="s">
        <v>5</v>
      </c>
      <c r="B2" s="16" t="s">
        <v>6</v>
      </c>
      <c r="C2" s="16" t="n">
        <v>11</v>
      </c>
      <c r="D2" s="17" t="n">
        <v>1</v>
      </c>
      <c r="E2" s="17" t="n">
        <v>1</v>
      </c>
      <c r="F2" s="17" t="n">
        <v>0.95</v>
      </c>
      <c r="G2" s="17" t="n">
        <v>1</v>
      </c>
      <c r="H2" s="17" t="n">
        <v>0.435</v>
      </c>
      <c r="I2" s="17" t="n">
        <v>1</v>
      </c>
      <c r="J2" s="17" t="n">
        <v>1</v>
      </c>
      <c r="K2" s="17" t="n">
        <v>0.967</v>
      </c>
      <c r="L2" s="18" t="n">
        <f aca="false">SUM(D2:K2,-MIN(D2:K2))</f>
        <v>6.917</v>
      </c>
      <c r="M2" s="19" t="s">
        <v>103</v>
      </c>
    </row>
    <row r="3" customFormat="false" ht="15.75" hidden="false" customHeight="false" outlineLevel="0" collapsed="false">
      <c r="A3" s="16" t="s">
        <v>38</v>
      </c>
      <c r="B3" s="16" t="s">
        <v>6</v>
      </c>
      <c r="C3" s="16" t="n">
        <v>11</v>
      </c>
      <c r="D3" s="17" t="n">
        <v>1</v>
      </c>
      <c r="E3" s="17" t="n">
        <v>0.18</v>
      </c>
      <c r="F3" s="17" t="n">
        <v>0.325</v>
      </c>
      <c r="G3" s="17" t="n">
        <v>1</v>
      </c>
      <c r="H3" s="17" t="n">
        <v>0.565</v>
      </c>
      <c r="I3" s="17" t="n">
        <v>1</v>
      </c>
      <c r="J3" s="17" t="n">
        <v>0.5</v>
      </c>
      <c r="K3" s="17" t="n">
        <v>0.9</v>
      </c>
      <c r="L3" s="18" t="n">
        <f aca="false">SUM(D3:K3,-MIN(D3:K3))</f>
        <v>5.29</v>
      </c>
      <c r="M3" s="19" t="s">
        <v>103</v>
      </c>
    </row>
    <row r="4" customFormat="false" ht="15.75" hidden="false" customHeight="false" outlineLevel="0" collapsed="false">
      <c r="A4" s="16" t="s">
        <v>104</v>
      </c>
      <c r="B4" s="16" t="s">
        <v>6</v>
      </c>
      <c r="C4" s="16" t="n">
        <v>11</v>
      </c>
      <c r="D4" s="17" t="n">
        <v>0.673</v>
      </c>
      <c r="E4" s="17" t="n">
        <v>0.08</v>
      </c>
      <c r="F4" s="17" t="n">
        <v>0</v>
      </c>
      <c r="G4" s="17" t="n">
        <v>1</v>
      </c>
      <c r="H4" s="17" t="n">
        <v>0.413</v>
      </c>
      <c r="I4" s="17" t="n">
        <v>0.714</v>
      </c>
      <c r="J4" s="17" t="n">
        <v>0.44</v>
      </c>
      <c r="K4" s="17" t="n">
        <v>0.9</v>
      </c>
      <c r="L4" s="18" t="n">
        <f aca="false">SUM(D4:K4,-MIN(D4:K4))</f>
        <v>4.22</v>
      </c>
      <c r="M4" s="19" t="s">
        <v>103</v>
      </c>
    </row>
    <row r="5" customFormat="false" ht="15.75" hidden="false" customHeight="false" outlineLevel="0" collapsed="false">
      <c r="A5" s="16" t="s">
        <v>105</v>
      </c>
      <c r="B5" s="16" t="n">
        <v>38</v>
      </c>
      <c r="C5" s="16" t="n">
        <v>11</v>
      </c>
      <c r="D5" s="17" t="n">
        <v>0.115</v>
      </c>
      <c r="E5" s="17" t="n">
        <v>0.12</v>
      </c>
      <c r="F5" s="17" t="n">
        <v>0.05</v>
      </c>
      <c r="G5" s="17" t="n">
        <v>1</v>
      </c>
      <c r="H5" s="17" t="n">
        <v>0.261</v>
      </c>
      <c r="I5" s="17" t="n">
        <v>1</v>
      </c>
      <c r="J5" s="17" t="n">
        <v>0.425</v>
      </c>
      <c r="K5" s="17" t="n">
        <v>0.767</v>
      </c>
      <c r="L5" s="18" t="n">
        <f aca="false">SUM(D5:K5,-MIN(D5:K5))</f>
        <v>3.688</v>
      </c>
      <c r="M5" s="19" t="s">
        <v>103</v>
      </c>
    </row>
    <row r="6" customFormat="false" ht="15.75" hidden="false" customHeight="false" outlineLevel="0" collapsed="false">
      <c r="A6" s="16" t="s">
        <v>106</v>
      </c>
      <c r="B6" s="16" t="n">
        <v>171</v>
      </c>
      <c r="C6" s="16" t="n">
        <v>11</v>
      </c>
      <c r="D6" s="17" t="n">
        <v>0.192</v>
      </c>
      <c r="E6" s="17" t="n">
        <v>0.14</v>
      </c>
      <c r="F6" s="17" t="n">
        <v>0.175</v>
      </c>
      <c r="G6" s="17" t="n">
        <v>0.525</v>
      </c>
      <c r="H6" s="17" t="n">
        <v>0.348</v>
      </c>
      <c r="I6" s="17" t="n">
        <v>1</v>
      </c>
      <c r="J6" s="17" t="n">
        <v>0.625</v>
      </c>
      <c r="K6" s="17" t="n">
        <v>0.25</v>
      </c>
      <c r="L6" s="18" t="n">
        <f aca="false">SUM(D6:K6,-MIN(D6:K6))</f>
        <v>3.115</v>
      </c>
      <c r="M6" s="19" t="s">
        <v>103</v>
      </c>
    </row>
    <row r="7" customFormat="false" ht="15.75" hidden="false" customHeight="false" outlineLevel="0" collapsed="false">
      <c r="A7" s="16" t="s">
        <v>107</v>
      </c>
      <c r="B7" s="16" t="n">
        <v>38</v>
      </c>
      <c r="C7" s="16" t="n">
        <v>11</v>
      </c>
      <c r="D7" s="17" t="n">
        <v>0.038</v>
      </c>
      <c r="E7" s="17" t="n">
        <v>0.16</v>
      </c>
      <c r="F7" s="17" t="n">
        <v>0.05</v>
      </c>
      <c r="G7" s="17" t="n">
        <v>1</v>
      </c>
      <c r="H7" s="17" t="n">
        <v>0.261</v>
      </c>
      <c r="I7" s="17" t="n">
        <v>0.429</v>
      </c>
      <c r="J7" s="17" t="n">
        <v>0.1</v>
      </c>
      <c r="K7" s="17" t="n">
        <v>0.817</v>
      </c>
      <c r="L7" s="18" t="n">
        <f aca="false">SUM(D7:K7,-MIN(D7:K7))</f>
        <v>2.817</v>
      </c>
      <c r="M7" s="19" t="s">
        <v>103</v>
      </c>
    </row>
    <row r="8" customFormat="false" ht="15.75" hidden="false" customHeight="false" outlineLevel="0" collapsed="false">
      <c r="A8" s="16" t="s">
        <v>108</v>
      </c>
      <c r="B8" s="16" t="n">
        <v>145</v>
      </c>
      <c r="C8" s="16" t="n">
        <v>11</v>
      </c>
      <c r="D8" s="17" t="n">
        <v>0</v>
      </c>
      <c r="E8" s="17" t="n">
        <v>0</v>
      </c>
      <c r="F8" s="17" t="n">
        <v>0.4</v>
      </c>
      <c r="G8" s="20" t="n">
        <v>1</v>
      </c>
      <c r="H8" s="17" t="n">
        <v>0.304</v>
      </c>
      <c r="I8" s="20" t="n">
        <v>1</v>
      </c>
      <c r="J8" s="17" t="n">
        <v>0</v>
      </c>
      <c r="K8" s="17" t="n">
        <v>0</v>
      </c>
      <c r="L8" s="18" t="n">
        <f aca="false">SUM(D8:K8,-MIN(D8:K8))</f>
        <v>2.704</v>
      </c>
      <c r="M8" s="19" t="s">
        <v>103</v>
      </c>
    </row>
    <row r="9" customFormat="false" ht="15.75" hidden="false" customHeight="false" outlineLevel="0" collapsed="false">
      <c r="A9" s="16" t="s">
        <v>109</v>
      </c>
      <c r="B9" s="16" t="n">
        <v>171</v>
      </c>
      <c r="C9" s="16" t="n">
        <v>8</v>
      </c>
      <c r="D9" s="17" t="n">
        <v>0.154</v>
      </c>
      <c r="E9" s="17" t="n">
        <v>0.36</v>
      </c>
      <c r="F9" s="17" t="n">
        <v>0.375</v>
      </c>
      <c r="G9" s="20" t="n">
        <v>1</v>
      </c>
      <c r="H9" s="17" t="n">
        <v>0.261</v>
      </c>
      <c r="I9" s="17" t="n">
        <v>0.429</v>
      </c>
      <c r="J9" s="17" t="s">
        <v>78</v>
      </c>
      <c r="K9" s="17" t="n">
        <v>0.083</v>
      </c>
      <c r="L9" s="18" t="n">
        <f aca="false">SUM(D9:K9,-MIN(D9:K9))</f>
        <v>2.579</v>
      </c>
      <c r="M9" s="19" t="s">
        <v>103</v>
      </c>
    </row>
    <row r="10" customFormat="false" ht="15.75" hidden="false" customHeight="false" outlineLevel="0" collapsed="false">
      <c r="A10" s="16" t="s">
        <v>67</v>
      </c>
      <c r="B10" s="16" t="n">
        <v>171</v>
      </c>
      <c r="C10" s="16" t="n">
        <v>11</v>
      </c>
      <c r="D10" s="17" t="n">
        <v>0.038</v>
      </c>
      <c r="E10" s="17" t="n">
        <v>0.44</v>
      </c>
      <c r="F10" s="17" t="n">
        <v>0.15</v>
      </c>
      <c r="G10" s="17" t="n">
        <v>0.475</v>
      </c>
      <c r="H10" s="17" t="n">
        <v>0.326</v>
      </c>
      <c r="I10" s="17" t="n">
        <v>0</v>
      </c>
      <c r="J10" s="17" t="n">
        <v>0.175</v>
      </c>
      <c r="K10" s="17" t="n">
        <v>0.5</v>
      </c>
      <c r="L10" s="18" t="n">
        <f aca="false">SUM(D10:K10,-MIN(D10:K10))</f>
        <v>2.104</v>
      </c>
      <c r="M10" s="16"/>
    </row>
    <row r="11" customFormat="false" ht="15.75" hidden="false" customHeight="false" outlineLevel="0" collapsed="false">
      <c r="A11" s="16" t="s">
        <v>110</v>
      </c>
      <c r="B11" s="16" t="n">
        <v>171</v>
      </c>
      <c r="C11" s="16" t="n">
        <v>9</v>
      </c>
      <c r="D11" s="17" t="n">
        <v>0.019</v>
      </c>
      <c r="E11" s="17" t="n">
        <v>0.02</v>
      </c>
      <c r="F11" s="17" t="n">
        <v>0</v>
      </c>
      <c r="G11" s="17" t="n">
        <v>0.55</v>
      </c>
      <c r="H11" s="17" t="n">
        <v>0.348</v>
      </c>
      <c r="I11" s="17" t="n">
        <v>0.429</v>
      </c>
      <c r="J11" s="17" t="n">
        <v>0.15</v>
      </c>
      <c r="K11" s="17" t="n">
        <v>0.083</v>
      </c>
      <c r="L11" s="18" t="n">
        <f aca="false">SUM(D11:K11,-MIN(D11:K11))</f>
        <v>1.599</v>
      </c>
      <c r="M11" s="16"/>
    </row>
    <row r="12" customFormat="false" ht="15.75" hidden="false" customHeight="false" outlineLevel="0" collapsed="false">
      <c r="A12" s="16" t="s">
        <v>111</v>
      </c>
      <c r="B12" s="16" t="n">
        <v>178</v>
      </c>
      <c r="C12" s="16" t="n">
        <v>11</v>
      </c>
      <c r="D12" s="17" t="n">
        <v>0</v>
      </c>
      <c r="E12" s="17" t="n">
        <v>0.02</v>
      </c>
      <c r="F12" s="17" t="n">
        <v>0</v>
      </c>
      <c r="G12" s="20" t="n">
        <v>1</v>
      </c>
      <c r="H12" s="17" t="n">
        <v>0.348</v>
      </c>
      <c r="I12" s="17" t="n">
        <v>0</v>
      </c>
      <c r="J12" s="17" t="n">
        <v>0.15</v>
      </c>
      <c r="K12" s="17" t="n">
        <v>0.033</v>
      </c>
      <c r="L12" s="18" t="n">
        <f aca="false">SUM(D12:K12,-MIN(D12:K12))</f>
        <v>1.551</v>
      </c>
      <c r="M12" s="16"/>
    </row>
    <row r="13" customFormat="false" ht="15.75" hidden="false" customHeight="false" outlineLevel="0" collapsed="false">
      <c r="A13" s="16" t="s">
        <v>112</v>
      </c>
      <c r="B13" s="16" t="s">
        <v>6</v>
      </c>
      <c r="C13" s="16" t="n">
        <v>9</v>
      </c>
      <c r="D13" s="17" t="n">
        <v>0</v>
      </c>
      <c r="E13" s="17" t="n">
        <v>0.08</v>
      </c>
      <c r="F13" s="17" t="n">
        <v>0.025</v>
      </c>
      <c r="G13" s="17" t="n">
        <v>0.5</v>
      </c>
      <c r="H13" s="17" t="n">
        <v>0.261</v>
      </c>
      <c r="I13" s="17" t="n">
        <v>0.285</v>
      </c>
      <c r="J13" s="17" t="n">
        <v>0.225</v>
      </c>
      <c r="K13" s="17" t="n">
        <v>0.083</v>
      </c>
      <c r="L13" s="18" t="n">
        <f aca="false">SUM(D13:K13,-MIN(D13:K13))</f>
        <v>1.459</v>
      </c>
      <c r="M13" s="16"/>
    </row>
    <row r="14" customFormat="false" ht="15.75" hidden="false" customHeight="false" outlineLevel="0" collapsed="false">
      <c r="A14" s="16" t="s">
        <v>113</v>
      </c>
      <c r="B14" s="16" t="n">
        <v>171</v>
      </c>
      <c r="C14" s="16" t="n">
        <v>9</v>
      </c>
      <c r="D14" s="17" t="n">
        <v>0</v>
      </c>
      <c r="E14" s="17" t="n">
        <v>0</v>
      </c>
      <c r="F14" s="17" t="n">
        <v>0.15</v>
      </c>
      <c r="G14" s="17" t="n">
        <v>0.15</v>
      </c>
      <c r="H14" s="17" t="n">
        <v>0.152</v>
      </c>
      <c r="I14" s="17" t="n">
        <v>0.285</v>
      </c>
      <c r="J14" s="17" t="n">
        <v>0</v>
      </c>
      <c r="K14" s="17" t="n">
        <v>0.083</v>
      </c>
      <c r="L14" s="18" t="n">
        <f aca="false">SUM(D14:K14,-MIN(D14:K14))</f>
        <v>0.82</v>
      </c>
      <c r="M14" s="16"/>
    </row>
    <row r="15" customFormat="false" ht="15.75" hidden="false" customHeight="false" outlineLevel="0" collapsed="false">
      <c r="A15" s="16" t="s">
        <v>114</v>
      </c>
      <c r="B15" s="16" t="s">
        <v>115</v>
      </c>
      <c r="C15" s="16" t="n">
        <v>11</v>
      </c>
      <c r="D15" s="17" t="n">
        <v>0</v>
      </c>
      <c r="E15" s="17" t="n">
        <v>0</v>
      </c>
      <c r="F15" s="17" t="n">
        <v>0</v>
      </c>
      <c r="G15" s="17" t="n">
        <v>0</v>
      </c>
      <c r="H15" s="17" t="n">
        <v>0.152</v>
      </c>
      <c r="I15" s="17" t="n">
        <v>0</v>
      </c>
      <c r="J15" s="17" t="n">
        <v>0.25</v>
      </c>
      <c r="K15" s="17" t="n">
        <v>0</v>
      </c>
      <c r="L15" s="18" t="n">
        <f aca="false">SUM(D15:K15,-MIN(D15:K15))</f>
        <v>0.402</v>
      </c>
      <c r="M15" s="16"/>
    </row>
    <row r="16" customFormat="false" ht="15.75" hidden="false" customHeight="false" outlineLevel="0" collapsed="false">
      <c r="A16" s="16" t="s">
        <v>116</v>
      </c>
      <c r="B16" s="16" t="n">
        <v>100</v>
      </c>
      <c r="C16" s="16" t="n">
        <v>10</v>
      </c>
      <c r="D16" s="17" t="n">
        <v>0.076</v>
      </c>
      <c r="E16" s="17" t="n">
        <v>0.08</v>
      </c>
      <c r="F16" s="17" t="n">
        <v>0</v>
      </c>
      <c r="G16" s="17" t="n">
        <v>0</v>
      </c>
      <c r="H16" s="17" t="n">
        <v>0.239</v>
      </c>
      <c r="I16" s="17" t="n">
        <v>0</v>
      </c>
      <c r="J16" s="17"/>
      <c r="K16" s="17" t="n">
        <v>0</v>
      </c>
      <c r="L16" s="18" t="n">
        <f aca="false">SUM(D16:K16,-MIN(D16:K16))</f>
        <v>0.395</v>
      </c>
      <c r="M16" s="16"/>
    </row>
    <row r="17" customFormat="false" ht="15.75" hidden="false" customHeight="false" outlineLevel="0" collapsed="false">
      <c r="A17" s="16" t="s">
        <v>117</v>
      </c>
      <c r="B17" s="16" t="n">
        <v>171</v>
      </c>
      <c r="C17" s="16" t="n">
        <v>10</v>
      </c>
      <c r="D17" s="17" t="n">
        <v>0</v>
      </c>
      <c r="E17" s="17" t="n">
        <v>0.08</v>
      </c>
      <c r="F17" s="17" t="n">
        <v>0</v>
      </c>
      <c r="G17" s="17" t="n">
        <v>0</v>
      </c>
      <c r="H17" s="17" t="n">
        <v>0.048</v>
      </c>
      <c r="I17" s="17" t="n">
        <v>0</v>
      </c>
      <c r="J17" s="17" t="n">
        <v>0.25</v>
      </c>
      <c r="K17" s="17" t="n">
        <v>0</v>
      </c>
      <c r="L17" s="18" t="n">
        <f aca="false">SUM(D17:K17,-MIN(D17:K17))</f>
        <v>0.378</v>
      </c>
      <c r="M17" s="16"/>
    </row>
    <row r="19" customFormat="false" ht="15.75" hidden="false" customHeight="false" outlineLevel="0" collapsed="false">
      <c r="A19" s="21"/>
    </row>
    <row r="20" customFormat="false" ht="15.75" hidden="false" customHeight="false" outlineLevel="0" collapsed="false">
      <c r="A20" s="21"/>
    </row>
    <row r="21" customFormat="false" ht="15.75" hidden="false" customHeight="false" outlineLevel="0" collapsed="false">
      <c r="A21" s="21"/>
    </row>
    <row r="22" customFormat="false" ht="15.75" hidden="false" customHeight="false" outlineLevel="0" collapsed="false">
      <c r="A22" s="21"/>
    </row>
    <row r="23" customFormat="false" ht="15.75" hidden="false" customHeight="false" outlineLevel="0" collapsed="false">
      <c r="A23" s="21"/>
    </row>
    <row r="24" customFormat="false" ht="15.75" hidden="false" customHeight="false" outlineLevel="0" collapsed="false">
      <c r="A24" s="21"/>
    </row>
    <row r="25" customFormat="false" ht="15.75" hidden="false" customHeight="false" outlineLevel="0" collapsed="false">
      <c r="M25" s="10" t="s">
        <v>118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7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C19" activeCellId="0" sqref="C19"/>
    </sheetView>
  </sheetViews>
  <sheetFormatPr defaultColWidth="9.15625" defaultRowHeight="15.75" zeroHeight="false" outlineLevelRow="0" outlineLevelCol="0"/>
  <cols>
    <col collapsed="false" customWidth="true" hidden="false" outlineLevel="0" max="1" min="1" style="318" width="13.86"/>
    <col collapsed="false" customWidth="true" hidden="false" outlineLevel="0" max="2" min="2" style="318" width="4.14"/>
    <col collapsed="false" customWidth="true" hidden="false" outlineLevel="0" max="4" min="3" style="318" width="7.57"/>
    <col collapsed="false" customWidth="true" hidden="false" outlineLevel="0" max="9" min="5" style="318" width="5.01"/>
    <col collapsed="false" customWidth="true" hidden="false" outlineLevel="0" max="10" min="10" style="318" width="5.86"/>
    <col collapsed="false" customWidth="true" hidden="false" outlineLevel="0" max="11" min="11" style="318" width="8.42"/>
    <col collapsed="false" customWidth="false" hidden="false" outlineLevel="0" max="1024" min="12" style="318" width="9.14"/>
  </cols>
  <sheetData>
    <row r="1" s="206" customFormat="true" ht="32.25" hidden="false" customHeight="true" outlineLevel="0" collapsed="false">
      <c r="A1" s="206" t="s">
        <v>0</v>
      </c>
      <c r="B1" s="337" t="s">
        <v>1</v>
      </c>
      <c r="C1" s="338" t="s">
        <v>508</v>
      </c>
      <c r="D1" s="338" t="s">
        <v>509</v>
      </c>
      <c r="E1" s="206" t="n">
        <v>1</v>
      </c>
      <c r="F1" s="206" t="n">
        <v>2</v>
      </c>
      <c r="G1" s="206" t="n">
        <v>3</v>
      </c>
      <c r="H1" s="206" t="n">
        <v>4</v>
      </c>
      <c r="I1" s="206" t="s">
        <v>397</v>
      </c>
      <c r="J1" s="206" t="s">
        <v>3</v>
      </c>
      <c r="K1" s="206" t="s">
        <v>4</v>
      </c>
    </row>
    <row r="2" customFormat="false" ht="15.75" hidden="false" customHeight="false" outlineLevel="0" collapsed="false">
      <c r="A2" s="286" t="s">
        <v>510</v>
      </c>
      <c r="B2" s="318" t="n">
        <v>10</v>
      </c>
      <c r="C2" s="318" t="n">
        <v>0.834</v>
      </c>
      <c r="D2" s="318" t="n">
        <v>0.88</v>
      </c>
      <c r="E2" s="318" t="n">
        <f aca="false">280/400</f>
        <v>0.7</v>
      </c>
      <c r="F2" s="318" t="n">
        <f aca="false">273/400</f>
        <v>0.6825</v>
      </c>
      <c r="G2" s="318" t="n">
        <f aca="false">328/400</f>
        <v>0.82</v>
      </c>
      <c r="H2" s="318" t="n">
        <f aca="false">353/400</f>
        <v>0.8825</v>
      </c>
      <c r="I2" s="318" t="n">
        <f aca="false">SUM(C2:H2)-MIN(C2:H2)</f>
        <v>4.1165</v>
      </c>
      <c r="J2" s="318" t="n">
        <f aca="false">I2*1.1</f>
        <v>4.52815</v>
      </c>
      <c r="K2" s="250" t="s">
        <v>103</v>
      </c>
    </row>
    <row r="3" customFormat="false" ht="15.75" hidden="false" customHeight="false" outlineLevel="0" collapsed="false">
      <c r="A3" s="286" t="s">
        <v>511</v>
      </c>
      <c r="B3" s="318" t="n">
        <v>10</v>
      </c>
      <c r="C3" s="318" t="n">
        <v>0.91</v>
      </c>
      <c r="D3" s="318" t="n">
        <v>0.92</v>
      </c>
      <c r="E3" s="318" t="n">
        <f aca="false">280/400</f>
        <v>0.7</v>
      </c>
      <c r="F3" s="318" t="n">
        <f aca="false">246/400</f>
        <v>0.615</v>
      </c>
      <c r="G3" s="318" t="n">
        <f aca="false">258/400</f>
        <v>0.645</v>
      </c>
      <c r="H3" s="318" t="n">
        <f aca="false">353/400</f>
        <v>0.8825</v>
      </c>
      <c r="I3" s="318" t="n">
        <f aca="false">SUM(C3:H3)-MIN(C3:H3)</f>
        <v>4.0575</v>
      </c>
      <c r="J3" s="318" t="n">
        <f aca="false">I3*1.1</f>
        <v>4.46325</v>
      </c>
      <c r="K3" s="250" t="s">
        <v>103</v>
      </c>
    </row>
    <row r="4" customFormat="false" ht="15.75" hidden="false" customHeight="false" outlineLevel="0" collapsed="false">
      <c r="A4" s="286" t="s">
        <v>512</v>
      </c>
      <c r="B4" s="318" t="n">
        <v>9</v>
      </c>
      <c r="C4" s="318" t="n">
        <v>0.608</v>
      </c>
      <c r="D4" s="318" t="n">
        <v>0.84</v>
      </c>
      <c r="E4" s="318" t="n">
        <f aca="false">154/400</f>
        <v>0.385</v>
      </c>
      <c r="F4" s="318" t="n">
        <f aca="false">281/400</f>
        <v>0.7025</v>
      </c>
      <c r="G4" s="318" t="n">
        <f aca="false">282/400</f>
        <v>0.705</v>
      </c>
      <c r="H4" s="318" t="n">
        <f aca="false">318/400</f>
        <v>0.795</v>
      </c>
      <c r="I4" s="318" t="n">
        <f aca="false">SUM(C4:H4)-MIN(C4:H4)</f>
        <v>3.6505</v>
      </c>
      <c r="J4" s="318" t="n">
        <f aca="false">I4*1.2</f>
        <v>4.3806</v>
      </c>
      <c r="K4" s="250" t="s">
        <v>103</v>
      </c>
    </row>
    <row r="5" customFormat="false" ht="15.75" hidden="false" customHeight="false" outlineLevel="0" collapsed="false">
      <c r="A5" s="286" t="s">
        <v>513</v>
      </c>
      <c r="B5" s="318" t="n">
        <v>10</v>
      </c>
      <c r="C5" s="318" t="n">
        <v>0.656</v>
      </c>
      <c r="D5" s="318" t="n">
        <v>0.92</v>
      </c>
      <c r="E5" s="318" t="n">
        <f aca="false">280/400</f>
        <v>0.7</v>
      </c>
      <c r="F5" s="318" t="n">
        <f aca="false">246/400</f>
        <v>0.615</v>
      </c>
      <c r="G5" s="318" t="n">
        <f aca="false">328/400</f>
        <v>0.82</v>
      </c>
      <c r="H5" s="318" t="n">
        <f aca="false">281/400</f>
        <v>0.7025</v>
      </c>
      <c r="I5" s="318" t="n">
        <f aca="false">SUM(C5:H5)-MIN(C5:H5)</f>
        <v>3.7985</v>
      </c>
      <c r="J5" s="318" t="n">
        <f aca="false">I5*1.1</f>
        <v>4.17835</v>
      </c>
      <c r="K5" s="250" t="s">
        <v>103</v>
      </c>
    </row>
    <row r="6" customFormat="false" ht="15.75" hidden="false" customHeight="false" outlineLevel="0" collapsed="false">
      <c r="A6" s="286" t="s">
        <v>514</v>
      </c>
      <c r="B6" s="318" t="n">
        <v>9</v>
      </c>
      <c r="C6" s="318" t="n">
        <v>0.612</v>
      </c>
      <c r="D6" s="318" t="n">
        <v>0.86</v>
      </c>
      <c r="E6" s="318" t="n">
        <f aca="false">156/400</f>
        <v>0.39</v>
      </c>
      <c r="F6" s="318" t="n">
        <f aca="false">245/400</f>
        <v>0.6125</v>
      </c>
      <c r="G6" s="318" t="n">
        <f aca="false">279/400</f>
        <v>0.6975</v>
      </c>
      <c r="H6" s="318" t="n">
        <f aca="false">269/400</f>
        <v>0.6725</v>
      </c>
      <c r="I6" s="318" t="n">
        <f aca="false">SUM(C6:H6)-MIN(C6:H6)</f>
        <v>3.4545</v>
      </c>
      <c r="J6" s="318" t="n">
        <f aca="false">I6*1.2</f>
        <v>4.1454</v>
      </c>
      <c r="K6" s="250" t="s">
        <v>103</v>
      </c>
    </row>
    <row r="7" customFormat="false" ht="15.75" hidden="false" customHeight="false" outlineLevel="0" collapsed="false">
      <c r="A7" s="286" t="s">
        <v>515</v>
      </c>
      <c r="B7" s="318" t="n">
        <v>9</v>
      </c>
      <c r="C7" s="318" t="n">
        <v>0.72</v>
      </c>
      <c r="D7" s="318" t="n">
        <v>0.86</v>
      </c>
      <c r="E7" s="318" t="n">
        <f aca="false">107/400</f>
        <v>0.2675</v>
      </c>
      <c r="F7" s="318" t="n">
        <f aca="false">215/400</f>
        <v>0.5375</v>
      </c>
      <c r="G7" s="318" t="n">
        <f aca="false">265/400</f>
        <v>0.6625</v>
      </c>
      <c r="H7" s="318" t="n">
        <f aca="false">241/400</f>
        <v>0.6025</v>
      </c>
      <c r="I7" s="318" t="n">
        <f aca="false">SUM(C7:H7)-MIN(C7:H7)</f>
        <v>3.3825</v>
      </c>
      <c r="J7" s="318" t="n">
        <f aca="false">I7*1.2</f>
        <v>4.059</v>
      </c>
      <c r="K7" s="250"/>
    </row>
    <row r="8" customFormat="false" ht="15.75" hidden="false" customHeight="false" outlineLevel="0" collapsed="false">
      <c r="A8" s="286" t="s">
        <v>516</v>
      </c>
      <c r="B8" s="318" t="n">
        <v>11</v>
      </c>
      <c r="C8" s="318" t="n">
        <v>0.8</v>
      </c>
      <c r="D8" s="318" t="n">
        <v>0.88</v>
      </c>
      <c r="E8" s="318" t="n">
        <f aca="false">280/400</f>
        <v>0.7</v>
      </c>
      <c r="F8" s="318" t="n">
        <f aca="false">288/400</f>
        <v>0.72</v>
      </c>
      <c r="G8" s="318" t="n">
        <f aca="false">331/400</f>
        <v>0.8275</v>
      </c>
      <c r="H8" s="318" t="n">
        <f aca="false">305/400</f>
        <v>0.7625</v>
      </c>
      <c r="I8" s="318" t="n">
        <f aca="false">SUM(C8:H8)-MIN(C8:H8)</f>
        <v>3.99</v>
      </c>
      <c r="J8" s="318" t="n">
        <f aca="false">I8</f>
        <v>3.99</v>
      </c>
      <c r="K8" s="250" t="s">
        <v>103</v>
      </c>
    </row>
    <row r="9" customFormat="false" ht="15.75" hidden="false" customHeight="false" outlineLevel="0" collapsed="false">
      <c r="A9" s="286" t="s">
        <v>517</v>
      </c>
      <c r="B9" s="318" t="n">
        <v>11</v>
      </c>
      <c r="C9" s="318" t="n">
        <v>0.754</v>
      </c>
      <c r="D9" s="318" t="n">
        <v>0.92</v>
      </c>
      <c r="E9" s="318" t="n">
        <f aca="false">147/400</f>
        <v>0.3675</v>
      </c>
      <c r="F9" s="318" t="n">
        <f aca="false">229/400</f>
        <v>0.5725</v>
      </c>
      <c r="G9" s="318" t="n">
        <f aca="false">331/400</f>
        <v>0.8275</v>
      </c>
      <c r="H9" s="318" t="n">
        <f aca="false">353/400</f>
        <v>0.8825</v>
      </c>
      <c r="I9" s="318" t="n">
        <f aca="false">SUM(C9:H9)-MIN(C9:H9)</f>
        <v>3.9565</v>
      </c>
      <c r="J9" s="318" t="n">
        <f aca="false">I9</f>
        <v>3.9565</v>
      </c>
      <c r="K9" s="250" t="s">
        <v>103</v>
      </c>
    </row>
    <row r="10" customFormat="false" ht="15.75" hidden="false" customHeight="false" outlineLevel="0" collapsed="false">
      <c r="A10" s="286" t="s">
        <v>518</v>
      </c>
      <c r="B10" s="318" t="n">
        <v>11</v>
      </c>
      <c r="C10" s="318" t="n">
        <v>0.756</v>
      </c>
      <c r="D10" s="318" t="n">
        <v>0.86</v>
      </c>
      <c r="E10" s="318" t="n">
        <f aca="false">280/400</f>
        <v>0.7</v>
      </c>
      <c r="F10" s="318" t="n">
        <f aca="false">221/400</f>
        <v>0.5525</v>
      </c>
      <c r="G10" s="318" t="n">
        <f aca="false">331/400</f>
        <v>0.8275</v>
      </c>
      <c r="H10" s="318" t="n">
        <f aca="false">300/400</f>
        <v>0.75</v>
      </c>
      <c r="I10" s="318" t="n">
        <f aca="false">SUM(C10:H10)-MIN(C10:H10)</f>
        <v>3.8935</v>
      </c>
      <c r="J10" s="318" t="n">
        <f aca="false">I10</f>
        <v>3.8935</v>
      </c>
    </row>
    <row r="11" customFormat="false" ht="15.75" hidden="false" customHeight="false" outlineLevel="0" collapsed="false">
      <c r="A11" s="286" t="s">
        <v>519</v>
      </c>
      <c r="B11" s="318" t="n">
        <v>11</v>
      </c>
      <c r="C11" s="318" t="n">
        <v>0.686</v>
      </c>
      <c r="D11" s="318" t="n">
        <v>0.88</v>
      </c>
      <c r="E11" s="318" t="n">
        <f aca="false">320/400</f>
        <v>0.8</v>
      </c>
      <c r="F11" s="318" t="n">
        <f aca="false">288/400</f>
        <v>0.72</v>
      </c>
      <c r="G11" s="318" t="n">
        <f aca="false">265/400</f>
        <v>0.6625</v>
      </c>
      <c r="H11" s="318" t="n">
        <f aca="false">232/400</f>
        <v>0.58</v>
      </c>
      <c r="I11" s="318" t="n">
        <f aca="false">SUM(C11:H11)-MIN(C11:H11)</f>
        <v>3.7485</v>
      </c>
      <c r="J11" s="318" t="n">
        <f aca="false">I11</f>
        <v>3.7485</v>
      </c>
    </row>
    <row r="12" customFormat="false" ht="15.75" hidden="false" customHeight="false" outlineLevel="0" collapsed="false">
      <c r="A12" s="286" t="s">
        <v>520</v>
      </c>
      <c r="B12" s="318" t="n">
        <v>10</v>
      </c>
      <c r="C12" s="318" t="n">
        <v>0.608</v>
      </c>
      <c r="D12" s="318" t="n">
        <v>0.86</v>
      </c>
      <c r="E12" s="318" t="n">
        <f aca="false">200/400</f>
        <v>0.5</v>
      </c>
      <c r="F12" s="318" t="n">
        <f aca="false">208/400</f>
        <v>0.52</v>
      </c>
      <c r="G12" s="318" t="n">
        <f aca="false">262/400</f>
        <v>0.655</v>
      </c>
      <c r="H12" s="318" t="n">
        <f aca="false">281/400</f>
        <v>0.7025</v>
      </c>
      <c r="I12" s="318" t="n">
        <f aca="false">SUM(C12:H12)-MIN(C12:H12)</f>
        <v>3.3455</v>
      </c>
      <c r="J12" s="318" t="n">
        <f aca="false">I12*1.1</f>
        <v>3.68005</v>
      </c>
    </row>
    <row r="13" customFormat="false" ht="15.75" hidden="false" customHeight="false" outlineLevel="0" collapsed="false">
      <c r="A13" s="286" t="s">
        <v>521</v>
      </c>
      <c r="B13" s="318" t="n">
        <v>11</v>
      </c>
      <c r="C13" s="318" t="n">
        <v>0.72</v>
      </c>
      <c r="D13" s="318" t="n">
        <v>0.82</v>
      </c>
      <c r="E13" s="318" t="n">
        <f aca="false">280/400</f>
        <v>0.7</v>
      </c>
      <c r="F13" s="318" t="n">
        <f aca="false">256/400</f>
        <v>0.64</v>
      </c>
      <c r="G13" s="318" t="n">
        <f aca="false">269/400</f>
        <v>0.6725</v>
      </c>
      <c r="H13" s="318" t="n">
        <f aca="false">288/400</f>
        <v>0.72</v>
      </c>
      <c r="I13" s="318" t="n">
        <f aca="false">SUM(C13:H13)-MIN(C13:H13)</f>
        <v>3.6325</v>
      </c>
      <c r="J13" s="318" t="n">
        <f aca="false">I13</f>
        <v>3.6325</v>
      </c>
    </row>
    <row r="14" customFormat="false" ht="15.75" hidden="false" customHeight="false" outlineLevel="0" collapsed="false">
      <c r="A14" s="286" t="s">
        <v>522</v>
      </c>
      <c r="B14" s="318" t="n">
        <v>10</v>
      </c>
      <c r="C14" s="318" t="n">
        <v>0.624</v>
      </c>
      <c r="D14" s="318" t="n">
        <v>0.86</v>
      </c>
      <c r="E14" s="318" t="n">
        <f aca="false">149/400</f>
        <v>0.3725</v>
      </c>
      <c r="F14" s="318" t="n">
        <f aca="false">231/400</f>
        <v>0.5775</v>
      </c>
      <c r="G14" s="318" t="n">
        <f aca="false">221/400</f>
        <v>0.5525</v>
      </c>
      <c r="H14" s="318" t="n">
        <f aca="false">200/400</f>
        <v>0.5</v>
      </c>
      <c r="I14" s="318" t="n">
        <f aca="false">SUM(C14:H14)-MIN(C14:H14)</f>
        <v>3.114</v>
      </c>
      <c r="J14" s="318" t="n">
        <f aca="false">I14*1.1</f>
        <v>3.4254</v>
      </c>
    </row>
    <row r="15" customFormat="false" ht="15.75" hidden="false" customHeight="false" outlineLevel="0" collapsed="false">
      <c r="A15" s="286" t="s">
        <v>523</v>
      </c>
      <c r="B15" s="318" t="n">
        <v>10</v>
      </c>
      <c r="C15" s="318" t="n">
        <v>0.664</v>
      </c>
      <c r="D15" s="318" t="n">
        <v>0.84</v>
      </c>
      <c r="E15" s="318" t="n">
        <f aca="false">66/400</f>
        <v>0.165</v>
      </c>
      <c r="F15" s="318" t="n">
        <f aca="false">104/400</f>
        <v>0.26</v>
      </c>
      <c r="G15" s="318" t="n">
        <f aca="false">234/400</f>
        <v>0.585</v>
      </c>
      <c r="H15" s="318" t="n">
        <f aca="false">250/400</f>
        <v>0.625</v>
      </c>
      <c r="I15" s="318" t="n">
        <f aca="false">SUM(C15:H15)-MIN(C15:H15)</f>
        <v>2.974</v>
      </c>
      <c r="J15" s="318" t="n">
        <f aca="false">I15*1.1</f>
        <v>3.2714</v>
      </c>
    </row>
    <row r="16" customFormat="false" ht="15.75" hidden="false" customHeight="false" outlineLevel="0" collapsed="false">
      <c r="A16" s="286" t="s">
        <v>524</v>
      </c>
      <c r="B16" s="318" t="n">
        <v>9</v>
      </c>
      <c r="C16" s="318" t="n">
        <v>0.64</v>
      </c>
      <c r="D16" s="318" t="n">
        <v>0.86</v>
      </c>
      <c r="E16" s="318" t="n">
        <f aca="false">0/400</f>
        <v>0</v>
      </c>
      <c r="F16" s="318" t="n">
        <f aca="false">86/400</f>
        <v>0.215</v>
      </c>
      <c r="G16" s="318" t="n">
        <f aca="false">228/400</f>
        <v>0.57</v>
      </c>
      <c r="H16" s="318" t="n">
        <f aca="false">176/400</f>
        <v>0.44</v>
      </c>
      <c r="I16" s="318" t="n">
        <f aca="false">SUM(C16:H16)-MIN(C16:H16)</f>
        <v>2.725</v>
      </c>
      <c r="J16" s="318" t="n">
        <f aca="false">I16*1.2</f>
        <v>3.27</v>
      </c>
    </row>
    <row r="17" customFormat="false" ht="15.75" hidden="false" customHeight="false" outlineLevel="0" collapsed="false">
      <c r="A17" s="286" t="s">
        <v>525</v>
      </c>
      <c r="B17" s="318" t="n">
        <v>11</v>
      </c>
      <c r="C17" s="318" t="n">
        <v>0.8</v>
      </c>
      <c r="D17" s="318" t="n">
        <v>0.816</v>
      </c>
      <c r="E17" s="318" t="n">
        <f aca="false">0/400</f>
        <v>0</v>
      </c>
      <c r="F17" s="318" t="n">
        <f aca="false">0/400</f>
        <v>0</v>
      </c>
      <c r="G17" s="318" t="n">
        <f aca="false">0/400</f>
        <v>0</v>
      </c>
      <c r="H17" s="318" t="n">
        <f aca="false">0/400</f>
        <v>0</v>
      </c>
      <c r="I17" s="318" t="n">
        <f aca="false">SUM(C17:H17)-MIN(C17:H17)</f>
        <v>1.616</v>
      </c>
      <c r="J17" s="318" t="n">
        <f aca="false">I17</f>
        <v>1.616</v>
      </c>
    </row>
  </sheetData>
  <autoFilter ref="A1:K17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26" activeCellId="0" sqref="O26"/>
    </sheetView>
  </sheetViews>
  <sheetFormatPr defaultColWidth="9.15625" defaultRowHeight="15.75" zeroHeight="false" outlineLevelRow="0" outlineLevelCol="0"/>
  <cols>
    <col collapsed="false" customWidth="true" hidden="false" outlineLevel="0" max="1" min="1" style="318" width="13.86"/>
    <col collapsed="false" customWidth="true" hidden="false" outlineLevel="0" max="2" min="2" style="318" width="4.14"/>
    <col collapsed="false" customWidth="true" hidden="false" outlineLevel="0" max="4" min="3" style="318" width="8.29"/>
    <col collapsed="false" customWidth="true" hidden="false" outlineLevel="0" max="7" min="5" style="250" width="6.57"/>
    <col collapsed="false" customWidth="true" hidden="false" outlineLevel="0" max="8" min="8" style="318" width="5.7"/>
    <col collapsed="false" customWidth="true" hidden="false" outlineLevel="0" max="9" min="9" style="318" width="5.86"/>
    <col collapsed="false" customWidth="true" hidden="false" outlineLevel="0" max="10" min="10" style="318" width="8.42"/>
    <col collapsed="false" customWidth="true" hidden="false" outlineLevel="0" max="11" min="11" style="318" width="6.86"/>
    <col collapsed="false" customWidth="false" hidden="false" outlineLevel="0" max="1024" min="12" style="318" width="9.14"/>
  </cols>
  <sheetData>
    <row r="1" s="206" customFormat="true" ht="36" hidden="false" customHeight="true" outlineLevel="0" collapsed="false">
      <c r="A1" s="206" t="s">
        <v>0</v>
      </c>
      <c r="B1" s="337" t="s">
        <v>1</v>
      </c>
      <c r="C1" s="339" t="s">
        <v>508</v>
      </c>
      <c r="D1" s="339" t="s">
        <v>509</v>
      </c>
      <c r="E1" s="206" t="n">
        <v>1</v>
      </c>
      <c r="F1" s="206" t="n">
        <v>2</v>
      </c>
      <c r="G1" s="206" t="n">
        <v>3</v>
      </c>
      <c r="H1" s="206" t="s">
        <v>397</v>
      </c>
      <c r="I1" s="206" t="s">
        <v>3</v>
      </c>
      <c r="J1" s="206" t="s">
        <v>4</v>
      </c>
      <c r="K1" s="206" t="s">
        <v>1</v>
      </c>
    </row>
    <row r="2" customFormat="false" ht="15.75" hidden="false" customHeight="false" outlineLevel="0" collapsed="false">
      <c r="A2" s="286" t="s">
        <v>526</v>
      </c>
      <c r="B2" s="340" t="n">
        <v>9</v>
      </c>
      <c r="C2" s="341" t="n">
        <f aca="false">500/500</f>
        <v>1</v>
      </c>
      <c r="D2" s="249" t="n">
        <f aca="false">413/500</f>
        <v>0.826</v>
      </c>
      <c r="E2" s="249" t="n">
        <f aca="false">192/400</f>
        <v>0.48</v>
      </c>
      <c r="F2" s="249" t="n">
        <f aca="false">359/400</f>
        <v>0.8975</v>
      </c>
      <c r="G2" s="249" t="n">
        <f aca="false">300/400</f>
        <v>0.75</v>
      </c>
      <c r="H2" s="317" t="n">
        <f aca="false">SUM(C2:G2)-MIN(C2:G2)</f>
        <v>3.4735</v>
      </c>
      <c r="I2" s="317" t="n">
        <f aca="false">H2*1.2</f>
        <v>4.1682</v>
      </c>
      <c r="J2" s="250" t="s">
        <v>103</v>
      </c>
      <c r="K2" s="286" t="n">
        <v>9</v>
      </c>
    </row>
    <row r="3" customFormat="false" ht="15.75" hidden="false" customHeight="false" outlineLevel="0" collapsed="false">
      <c r="A3" s="286" t="s">
        <v>527</v>
      </c>
      <c r="B3" s="340" t="n">
        <v>11</v>
      </c>
      <c r="C3" s="341" t="n">
        <f aca="false">500/500</f>
        <v>1</v>
      </c>
      <c r="D3" s="249" t="n">
        <f aca="false">480/500</f>
        <v>0.96</v>
      </c>
      <c r="E3" s="249" t="n">
        <f aca="false">319/400</f>
        <v>0.7975</v>
      </c>
      <c r="F3" s="342" t="n">
        <f aca="false">400/400</f>
        <v>1</v>
      </c>
      <c r="G3" s="342" t="n">
        <f aca="false">400/400</f>
        <v>1</v>
      </c>
      <c r="H3" s="317" t="n">
        <f aca="false">SUM(C3:G3)-MIN(C3:G3)</f>
        <v>3.96</v>
      </c>
      <c r="I3" s="317" t="n">
        <f aca="false">H3</f>
        <v>3.96</v>
      </c>
      <c r="J3" s="343" t="s">
        <v>103</v>
      </c>
      <c r="K3" s="286" t="n">
        <v>11</v>
      </c>
    </row>
    <row r="4" customFormat="false" ht="15.75" hidden="false" customHeight="false" outlineLevel="0" collapsed="false">
      <c r="A4" s="286" t="s">
        <v>528</v>
      </c>
      <c r="B4" s="340" t="n">
        <v>9</v>
      </c>
      <c r="C4" s="344" t="n">
        <f aca="false">406/500</f>
        <v>0.812</v>
      </c>
      <c r="D4" s="249" t="n">
        <f aca="false">411/500</f>
        <v>0.822</v>
      </c>
      <c r="E4" s="249" t="n">
        <f aca="false">126/400</f>
        <v>0.315</v>
      </c>
      <c r="F4" s="249" t="n">
        <f aca="false">359/400</f>
        <v>0.8975</v>
      </c>
      <c r="G4" s="249" t="n">
        <f aca="false">212/400</f>
        <v>0.53</v>
      </c>
      <c r="H4" s="317" t="n">
        <f aca="false">SUM(C4:G4)-MIN(C4:G4)</f>
        <v>3.0615</v>
      </c>
      <c r="I4" s="317" t="n">
        <f aca="false">H4*1.2</f>
        <v>3.6738</v>
      </c>
      <c r="J4" s="343" t="s">
        <v>103</v>
      </c>
      <c r="K4" s="286" t="n">
        <v>9</v>
      </c>
    </row>
    <row r="5" customFormat="false" ht="15.75" hidden="false" customHeight="false" outlineLevel="0" collapsed="false">
      <c r="A5" s="286" t="s">
        <v>529</v>
      </c>
      <c r="B5" s="340" t="n">
        <v>11</v>
      </c>
      <c r="C5" s="344" t="n">
        <f aca="false">460/500</f>
        <v>0.92</v>
      </c>
      <c r="D5" s="249" t="n">
        <f aca="false">426/500</f>
        <v>0.852</v>
      </c>
      <c r="E5" s="249" t="n">
        <f aca="false">171/400</f>
        <v>0.4275</v>
      </c>
      <c r="F5" s="249" t="n">
        <f aca="false">324/400</f>
        <v>0.81</v>
      </c>
      <c r="G5" s="249" t="n">
        <f aca="false">300/400</f>
        <v>0.75</v>
      </c>
      <c r="H5" s="317" t="n">
        <f aca="false">SUM(C5:G5)-MIN(C5:G5)</f>
        <v>3.332</v>
      </c>
      <c r="I5" s="317" t="n">
        <f aca="false">H5</f>
        <v>3.332</v>
      </c>
      <c r="J5" s="250" t="s">
        <v>103</v>
      </c>
      <c r="K5" s="286" t="n">
        <v>11</v>
      </c>
    </row>
    <row r="6" customFormat="false" ht="15.75" hidden="false" customHeight="false" outlineLevel="0" collapsed="false">
      <c r="A6" s="286" t="s">
        <v>530</v>
      </c>
      <c r="B6" s="340" t="n">
        <v>9</v>
      </c>
      <c r="C6" s="344" t="n">
        <f aca="false">372/500</f>
        <v>0.744</v>
      </c>
      <c r="D6" s="249" t="n">
        <f aca="false">330/500</f>
        <v>0.66</v>
      </c>
      <c r="E6" s="249" t="n">
        <f aca="false">49/400</f>
        <v>0.1225</v>
      </c>
      <c r="F6" s="249" t="n">
        <f aca="false">334/400</f>
        <v>0.835</v>
      </c>
      <c r="G6" s="249" t="n">
        <f aca="false">200/400</f>
        <v>0.5</v>
      </c>
      <c r="H6" s="317" t="n">
        <f aca="false">SUM(C6:G6)-MIN(C6:G6)</f>
        <v>2.739</v>
      </c>
      <c r="I6" s="317" t="n">
        <f aca="false">H6*1.2</f>
        <v>3.2868</v>
      </c>
      <c r="J6" s="343" t="s">
        <v>103</v>
      </c>
      <c r="K6" s="286" t="n">
        <v>9</v>
      </c>
    </row>
    <row r="7" customFormat="false" ht="15.75" hidden="false" customHeight="false" outlineLevel="0" collapsed="false">
      <c r="A7" s="286" t="s">
        <v>531</v>
      </c>
      <c r="B7" s="340" t="n">
        <v>11</v>
      </c>
      <c r="C7" s="341" t="n">
        <f aca="false">500/500</f>
        <v>1</v>
      </c>
      <c r="D7" s="249" t="n">
        <f aca="false">323/500</f>
        <v>0.646</v>
      </c>
      <c r="E7" s="249" t="n">
        <f aca="false">41/400</f>
        <v>0.1025</v>
      </c>
      <c r="F7" s="249" t="n">
        <f aca="false">334/400</f>
        <v>0.835</v>
      </c>
      <c r="G7" s="249" t="n">
        <f aca="false">300/400</f>
        <v>0.75</v>
      </c>
      <c r="H7" s="317" t="n">
        <f aca="false">SUM(C7:G7)-MIN(C7:G7)</f>
        <v>3.231</v>
      </c>
      <c r="I7" s="317" t="n">
        <f aca="false">H7</f>
        <v>3.231</v>
      </c>
      <c r="J7" s="250" t="s">
        <v>103</v>
      </c>
      <c r="K7" s="286" t="n">
        <v>11</v>
      </c>
    </row>
    <row r="8" customFormat="false" ht="15.75" hidden="false" customHeight="false" outlineLevel="0" collapsed="false">
      <c r="A8" s="286" t="s">
        <v>532</v>
      </c>
      <c r="B8" s="340" t="n">
        <v>10</v>
      </c>
      <c r="C8" s="344" t="n">
        <f aca="false">388/500</f>
        <v>0.776</v>
      </c>
      <c r="D8" s="249" t="n">
        <f aca="false">375/500</f>
        <v>0.75</v>
      </c>
      <c r="E8" s="249" t="n">
        <f aca="false">111/400</f>
        <v>0.2775</v>
      </c>
      <c r="F8" s="249" t="n">
        <f aca="false">334/400</f>
        <v>0.835</v>
      </c>
      <c r="G8" s="249" t="n">
        <f aca="false">149/400</f>
        <v>0.3725</v>
      </c>
      <c r="H8" s="317" t="n">
        <f aca="false">SUM(C8:G8)-MIN(C8:G8)</f>
        <v>2.7335</v>
      </c>
      <c r="I8" s="317" t="n">
        <f aca="false">H8*1.1</f>
        <v>3.00685</v>
      </c>
      <c r="J8" s="343" t="s">
        <v>103</v>
      </c>
      <c r="K8" s="286" t="n">
        <v>10</v>
      </c>
    </row>
    <row r="9" customFormat="false" ht="15.75" hidden="false" customHeight="false" outlineLevel="0" collapsed="false">
      <c r="A9" s="286" t="s">
        <v>533</v>
      </c>
      <c r="B9" s="340" t="n">
        <v>9</v>
      </c>
      <c r="C9" s="344" t="n">
        <f aca="false">345/500</f>
        <v>0.69</v>
      </c>
      <c r="D9" s="249" t="n">
        <f aca="false">326/500</f>
        <v>0.652</v>
      </c>
      <c r="E9" s="249" t="n">
        <f aca="false">120/400</f>
        <v>0.3</v>
      </c>
      <c r="F9" s="249" t="n">
        <f aca="false">294/400</f>
        <v>0.735</v>
      </c>
      <c r="G9" s="249" t="n">
        <f aca="false">112/400</f>
        <v>0.28</v>
      </c>
      <c r="H9" s="317" t="n">
        <f aca="false">SUM(C9:G9)-MIN(C9:G9)</f>
        <v>2.377</v>
      </c>
      <c r="I9" s="317" t="n">
        <f aca="false">H9*1.2</f>
        <v>2.8524</v>
      </c>
      <c r="J9" s="250" t="s">
        <v>103</v>
      </c>
      <c r="K9" s="286" t="n">
        <v>9</v>
      </c>
    </row>
    <row r="10" customFormat="false" ht="15.75" hidden="false" customHeight="false" outlineLevel="0" collapsed="false">
      <c r="A10" s="286" t="s">
        <v>515</v>
      </c>
      <c r="B10" s="340" t="n">
        <v>11</v>
      </c>
      <c r="C10" s="344" t="n">
        <f aca="false">372/500</f>
        <v>0.744</v>
      </c>
      <c r="D10" s="249" t="n">
        <f aca="false">358/500</f>
        <v>0.716</v>
      </c>
      <c r="E10" s="249" t="n">
        <f aca="false">119/400</f>
        <v>0.2975</v>
      </c>
      <c r="F10" s="249" t="n">
        <f aca="false">311/400</f>
        <v>0.7775</v>
      </c>
      <c r="G10" s="249" t="n">
        <f aca="false">244/400</f>
        <v>0.61</v>
      </c>
      <c r="H10" s="317" t="n">
        <f aca="false">SUM(C10:G10)-MIN(C10:G10)</f>
        <v>2.8475</v>
      </c>
      <c r="I10" s="317" t="n">
        <f aca="false">H10</f>
        <v>2.8475</v>
      </c>
      <c r="J10" s="250" t="s">
        <v>103</v>
      </c>
      <c r="K10" s="286" t="n">
        <v>11</v>
      </c>
    </row>
    <row r="11" customFormat="false" ht="15.75" hidden="false" customHeight="false" outlineLevel="0" collapsed="false">
      <c r="A11" s="286" t="s">
        <v>534</v>
      </c>
      <c r="B11" s="340" t="n">
        <v>11</v>
      </c>
      <c r="C11" s="344" t="n">
        <f aca="false">423/500</f>
        <v>0.846</v>
      </c>
      <c r="D11" s="249" t="n">
        <f aca="false">371/500</f>
        <v>0.742</v>
      </c>
      <c r="E11" s="249" t="n">
        <f aca="false">151/400</f>
        <v>0.3775</v>
      </c>
      <c r="F11" s="249" t="n">
        <f aca="false">334/400</f>
        <v>0.835</v>
      </c>
      <c r="G11" s="249" t="n">
        <f aca="false">142/400</f>
        <v>0.355</v>
      </c>
      <c r="H11" s="317" t="n">
        <f aca="false">SUM(C11:G11)-MIN(C11:G11)</f>
        <v>2.8005</v>
      </c>
      <c r="I11" s="317" t="n">
        <f aca="false">H11</f>
        <v>2.8005</v>
      </c>
      <c r="J11" s="250" t="s">
        <v>103</v>
      </c>
      <c r="K11" s="286" t="n">
        <v>11</v>
      </c>
    </row>
    <row r="12" customFormat="false" ht="15.75" hidden="false" customHeight="false" outlineLevel="0" collapsed="false">
      <c r="A12" s="286" t="s">
        <v>535</v>
      </c>
      <c r="B12" s="340" t="n">
        <v>11</v>
      </c>
      <c r="C12" s="344" t="n">
        <f aca="false">372/500</f>
        <v>0.744</v>
      </c>
      <c r="D12" s="249" t="n">
        <f aca="false">362/500</f>
        <v>0.724</v>
      </c>
      <c r="E12" s="249" t="n">
        <f aca="false">120/400</f>
        <v>0.3</v>
      </c>
      <c r="F12" s="249" t="n">
        <f aca="false">324/400</f>
        <v>0.81</v>
      </c>
      <c r="G12" s="249" t="n">
        <f aca="false">205/400</f>
        <v>0.5125</v>
      </c>
      <c r="H12" s="317" t="n">
        <f aca="false">SUM(C12:G12)-MIN(C12:G12)</f>
        <v>2.7905</v>
      </c>
      <c r="I12" s="317" t="n">
        <f aca="false">H12</f>
        <v>2.7905</v>
      </c>
      <c r="J12" s="249"/>
      <c r="K12" s="286"/>
    </row>
    <row r="13" customFormat="false" ht="15.75" hidden="false" customHeight="false" outlineLevel="0" collapsed="false">
      <c r="A13" s="286" t="s">
        <v>536</v>
      </c>
      <c r="B13" s="340" t="n">
        <v>11</v>
      </c>
      <c r="C13" s="344" t="n">
        <f aca="false">354/500</f>
        <v>0.708</v>
      </c>
      <c r="D13" s="249" t="n">
        <f aca="false">350/500</f>
        <v>0.7</v>
      </c>
      <c r="E13" s="249" t="n">
        <f aca="false">172/400</f>
        <v>0.43</v>
      </c>
      <c r="F13" s="249" t="n">
        <f aca="false">334/400</f>
        <v>0.835</v>
      </c>
      <c r="G13" s="249" t="n">
        <f aca="false">205/400</f>
        <v>0.5125</v>
      </c>
      <c r="H13" s="317" t="n">
        <f aca="false">SUM(C13:G13)-MIN(C13:G13)</f>
        <v>2.7555</v>
      </c>
      <c r="I13" s="317" t="n">
        <f aca="false">H13</f>
        <v>2.7555</v>
      </c>
      <c r="J13" s="250"/>
      <c r="K13" s="286"/>
    </row>
    <row r="14" customFormat="false" ht="15.75" hidden="false" customHeight="false" outlineLevel="0" collapsed="false">
      <c r="A14" s="286" t="s">
        <v>537</v>
      </c>
      <c r="B14" s="340" t="n">
        <v>8</v>
      </c>
      <c r="C14" s="344" t="n">
        <f aca="false">339/500</f>
        <v>0.678</v>
      </c>
      <c r="D14" s="249" t="n">
        <f aca="false">278/500</f>
        <v>0.556</v>
      </c>
      <c r="E14" s="249" t="n">
        <f aca="false">55/400</f>
        <v>0.1375</v>
      </c>
      <c r="F14" s="249" t="n">
        <f aca="false">234/400</f>
        <v>0.585</v>
      </c>
      <c r="G14" s="249" t="n">
        <f aca="false">200/400</f>
        <v>0.5</v>
      </c>
      <c r="H14" s="317" t="n">
        <f aca="false">SUM(C14:G14)-MIN(C14:G14)</f>
        <v>2.319</v>
      </c>
      <c r="I14" s="317" t="n">
        <f aca="false">H14*1.1</f>
        <v>2.5509</v>
      </c>
      <c r="J14" s="250" t="s">
        <v>103</v>
      </c>
      <c r="K14" s="286" t="n">
        <v>10</v>
      </c>
    </row>
    <row r="15" customFormat="false" ht="15.75" hidden="false" customHeight="false" outlineLevel="0" collapsed="false">
      <c r="A15" s="286" t="s">
        <v>512</v>
      </c>
      <c r="B15" s="340" t="n">
        <v>11</v>
      </c>
      <c r="C15" s="344" t="n">
        <f aca="false">339/500</f>
        <v>0.678</v>
      </c>
      <c r="D15" s="249" t="n">
        <f aca="false">330/500</f>
        <v>0.66</v>
      </c>
      <c r="E15" s="249" t="n">
        <f aca="false">52/400</f>
        <v>0.13</v>
      </c>
      <c r="F15" s="249" t="n">
        <f aca="false">324/400</f>
        <v>0.81</v>
      </c>
      <c r="G15" s="249" t="n">
        <f aca="false">105/400</f>
        <v>0.2625</v>
      </c>
      <c r="H15" s="317" t="n">
        <f aca="false">SUM(C15:G15)-MIN(C15:G15)</f>
        <v>2.4105</v>
      </c>
      <c r="I15" s="317" t="n">
        <f aca="false">H15</f>
        <v>2.4105</v>
      </c>
      <c r="K15" s="286"/>
    </row>
    <row r="16" customFormat="false" ht="15.75" hidden="false" customHeight="false" outlineLevel="0" collapsed="false">
      <c r="A16" s="286" t="s">
        <v>538</v>
      </c>
      <c r="B16" s="340" t="n">
        <v>8</v>
      </c>
      <c r="C16" s="344" t="n">
        <f aca="false">300/500</f>
        <v>0.6</v>
      </c>
      <c r="D16" s="249" t="n">
        <f aca="false">299/500</f>
        <v>0.598</v>
      </c>
      <c r="E16" s="249" t="n">
        <f aca="false">120/400</f>
        <v>0.3</v>
      </c>
      <c r="F16" s="249" t="n">
        <f aca="false">150/400</f>
        <v>0.375</v>
      </c>
      <c r="G16" s="249" t="n">
        <f aca="false">100/400</f>
        <v>0.25</v>
      </c>
      <c r="H16" s="317" t="n">
        <f aca="false">SUM(C16:G16)-MIN(C16:G16)</f>
        <v>1.873</v>
      </c>
      <c r="I16" s="317" t="n">
        <f aca="false">H16*1.2</f>
        <v>2.2476</v>
      </c>
      <c r="K16" s="286"/>
    </row>
    <row r="17" customFormat="false" ht="15.75" hidden="false" customHeight="false" outlineLevel="0" collapsed="false">
      <c r="A17" s="286" t="s">
        <v>539</v>
      </c>
      <c r="B17" s="340" t="n">
        <v>10</v>
      </c>
      <c r="C17" s="344" t="n">
        <f aca="false">348/500</f>
        <v>0.696</v>
      </c>
      <c r="D17" s="249" t="n">
        <f aca="false">330/500</f>
        <v>0.66</v>
      </c>
      <c r="E17" s="249" t="n">
        <f aca="false">49/400</f>
        <v>0.1225</v>
      </c>
      <c r="F17" s="249" t="n">
        <f aca="false">211/400</f>
        <v>0.5275</v>
      </c>
      <c r="G17" s="249" t="n">
        <f aca="false">5/400</f>
        <v>0.0125</v>
      </c>
      <c r="H17" s="317" t="n">
        <f aca="false">SUM(C17:G17)-MIN(C17:G17)</f>
        <v>2.006</v>
      </c>
      <c r="I17" s="317" t="n">
        <f aca="false">H17*1.1</f>
        <v>2.2066</v>
      </c>
      <c r="J17" s="250"/>
      <c r="K17" s="286"/>
    </row>
    <row r="18" customFormat="false" ht="15.75" hidden="false" customHeight="false" outlineLevel="0" collapsed="false">
      <c r="A18" s="286" t="s">
        <v>540</v>
      </c>
      <c r="B18" s="340" t="n">
        <v>8</v>
      </c>
      <c r="C18" s="344" t="n">
        <f aca="false">317/500</f>
        <v>0.634</v>
      </c>
      <c r="D18" s="249" t="n">
        <f aca="false">271/500</f>
        <v>0.542</v>
      </c>
      <c r="E18" s="249" t="n">
        <f aca="false">50/400</f>
        <v>0.125</v>
      </c>
      <c r="F18" s="249" t="n">
        <f aca="false">150/400</f>
        <v>0.375</v>
      </c>
      <c r="G18" s="249" t="n">
        <f aca="false">0/400</f>
        <v>0</v>
      </c>
      <c r="H18" s="317" t="n">
        <f aca="false">SUM(C18:G18)-MIN(C18:G18)</f>
        <v>1.676</v>
      </c>
      <c r="I18" s="317" t="n">
        <f aca="false">H18*1.2</f>
        <v>2.0112</v>
      </c>
      <c r="K18" s="286"/>
    </row>
    <row r="19" customFormat="false" ht="15.75" hidden="false" customHeight="false" outlineLevel="0" collapsed="false">
      <c r="A19" s="286" t="s">
        <v>541</v>
      </c>
      <c r="B19" s="340" t="n">
        <v>9</v>
      </c>
      <c r="C19" s="344" t="n">
        <f aca="false">348/500</f>
        <v>0.696</v>
      </c>
      <c r="D19" s="249" t="n">
        <f aca="false">233/500</f>
        <v>0.466</v>
      </c>
      <c r="E19" s="249" t="n">
        <f aca="false">41/400</f>
        <v>0.1025</v>
      </c>
      <c r="F19" s="249" t="n">
        <f aca="false">100/400</f>
        <v>0.25</v>
      </c>
      <c r="G19" s="249" t="n">
        <f aca="false">100/400</f>
        <v>0.25</v>
      </c>
      <c r="H19" s="317" t="n">
        <f aca="false">SUM(C19:G19)-MIN(C19:G19)</f>
        <v>1.662</v>
      </c>
      <c r="I19" s="317" t="n">
        <f aca="false">H19*1.2</f>
        <v>1.9944</v>
      </c>
      <c r="K19" s="286"/>
    </row>
    <row r="20" customFormat="false" ht="15.75" hidden="false" customHeight="false" outlineLevel="0" collapsed="false">
      <c r="A20" s="286" t="s">
        <v>542</v>
      </c>
      <c r="B20" s="340" t="n">
        <v>9</v>
      </c>
      <c r="C20" s="344" t="n">
        <f aca="false">306/500</f>
        <v>0.612</v>
      </c>
      <c r="D20" s="249" t="n">
        <f aca="false">274/500</f>
        <v>0.548</v>
      </c>
      <c r="E20" s="249" t="n">
        <v>0</v>
      </c>
      <c r="F20" s="249" t="n">
        <v>0</v>
      </c>
      <c r="G20" s="249" t="n">
        <v>0</v>
      </c>
      <c r="H20" s="317" t="n">
        <f aca="false">SUM(C20:G20)-MIN(C20:G20)</f>
        <v>1.16</v>
      </c>
      <c r="I20" s="317" t="n">
        <f aca="false">H20*1.2</f>
        <v>1.392</v>
      </c>
      <c r="K20" s="286"/>
    </row>
    <row r="21" customFormat="false" ht="15.75" hidden="false" customHeight="false" outlineLevel="0" collapsed="false">
      <c r="A21" s="286" t="s">
        <v>514</v>
      </c>
      <c r="B21" s="340" t="n">
        <v>11</v>
      </c>
      <c r="C21" s="344" t="n">
        <f aca="false">354/500</f>
        <v>0.708</v>
      </c>
      <c r="D21" s="249" t="n">
        <f aca="false">339/500</f>
        <v>0.678</v>
      </c>
      <c r="E21" s="249" t="n">
        <f aca="false">61/400</f>
        <v>0.1525</v>
      </c>
      <c r="F21" s="345"/>
      <c r="G21" s="249"/>
      <c r="H21" s="317"/>
      <c r="I21" s="317"/>
      <c r="J21" s="250"/>
      <c r="K21" s="286"/>
    </row>
    <row r="22" customFormat="false" ht="15.75" hidden="false" customHeight="false" outlineLevel="0" collapsed="false">
      <c r="C22" s="346"/>
      <c r="D22" s="346"/>
    </row>
    <row r="23" customFormat="false" ht="15.75" hidden="false" customHeight="false" outlineLevel="0" collapsed="false">
      <c r="J23" s="250"/>
    </row>
    <row r="32" customFormat="false" ht="15.75" hidden="false" customHeight="false" outlineLevel="0" collapsed="false">
      <c r="L32" s="250"/>
    </row>
  </sheetData>
  <autoFilter ref="A1:K2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24" activeCellId="0" sqref="O24"/>
    </sheetView>
  </sheetViews>
  <sheetFormatPr defaultColWidth="9.13671875" defaultRowHeight="15" zeroHeight="false" outlineLevelRow="0" outlineLevelCol="0"/>
  <cols>
    <col collapsed="false" customWidth="true" hidden="false" outlineLevel="0" max="1" min="1" style="347" width="13.86"/>
    <col collapsed="false" customWidth="true" hidden="false" outlineLevel="0" max="2" min="2" style="347" width="4.14"/>
    <col collapsed="false" customWidth="true" hidden="false" outlineLevel="0" max="4" min="3" style="347" width="8.29"/>
    <col collapsed="false" customWidth="true" hidden="false" outlineLevel="0" max="5" min="5" style="348" width="8.19"/>
    <col collapsed="false" customWidth="true" hidden="false" outlineLevel="0" max="6" min="6" style="348" width="5.14"/>
    <col collapsed="false" customWidth="true" hidden="false" outlineLevel="0" max="7" min="7" style="348" width="5.28"/>
    <col collapsed="false" customWidth="true" hidden="false" outlineLevel="0" max="8" min="8" style="348" width="5.42"/>
    <col collapsed="false" customWidth="true" hidden="false" outlineLevel="0" max="9" min="9" style="348" width="4.86"/>
    <col collapsed="false" customWidth="true" hidden="false" outlineLevel="0" max="10" min="10" style="347" width="5.7"/>
    <col collapsed="false" customWidth="true" hidden="false" outlineLevel="0" max="11" min="11" style="347" width="5.86"/>
    <col collapsed="false" customWidth="true" hidden="false" outlineLevel="0" max="12" min="12" style="347" width="8.4"/>
    <col collapsed="false" customWidth="true" hidden="false" outlineLevel="0" max="16" min="13" style="347" width="8.19"/>
    <col collapsed="false" customWidth="true" hidden="false" outlineLevel="0" max="17" min="17" style="349" width="25.14"/>
    <col collapsed="false" customWidth="false" hidden="false" outlineLevel="0" max="1022" min="18" style="347" width="9.13"/>
  </cols>
  <sheetData>
    <row r="1" s="350" customFormat="true" ht="61.9" hidden="false" customHeight="true" outlineLevel="0" collapsed="false">
      <c r="A1" s="350" t="s">
        <v>0</v>
      </c>
      <c r="B1" s="351" t="s">
        <v>1</v>
      </c>
      <c r="C1" s="352" t="s">
        <v>508</v>
      </c>
      <c r="D1" s="352" t="s">
        <v>509</v>
      </c>
      <c r="E1" s="353" t="s">
        <v>543</v>
      </c>
      <c r="F1" s="350" t="n">
        <v>1</v>
      </c>
      <c r="G1" s="350" t="n">
        <v>2</v>
      </c>
      <c r="H1" s="350" t="n">
        <v>3</v>
      </c>
      <c r="I1" s="350" t="n">
        <v>4</v>
      </c>
      <c r="J1" s="350" t="s">
        <v>397</v>
      </c>
      <c r="K1" s="350" t="s">
        <v>3</v>
      </c>
      <c r="L1" s="350" t="s">
        <v>4</v>
      </c>
      <c r="M1" s="350" t="s">
        <v>544</v>
      </c>
      <c r="N1" s="350" t="s">
        <v>545</v>
      </c>
      <c r="O1" s="350" t="s">
        <v>546</v>
      </c>
      <c r="P1" s="350" t="s">
        <v>547</v>
      </c>
      <c r="Q1" s="354"/>
      <c r="AMI1" s="0"/>
      <c r="AMJ1" s="0"/>
    </row>
    <row r="2" customFormat="false" ht="15" hidden="false" customHeight="false" outlineLevel="0" collapsed="false">
      <c r="A2" s="355" t="s">
        <v>548</v>
      </c>
      <c r="B2" s="355" t="n">
        <v>9</v>
      </c>
      <c r="C2" s="356" t="n">
        <f aca="false">412/500</f>
        <v>0.824</v>
      </c>
      <c r="D2" s="356" t="n">
        <f aca="false">500/500</f>
        <v>1</v>
      </c>
      <c r="E2" s="348" t="s">
        <v>549</v>
      </c>
      <c r="F2" s="357" t="n">
        <f aca="false">269/400</f>
        <v>0.6725</v>
      </c>
      <c r="G2" s="357" t="n">
        <f aca="false">400/400</f>
        <v>1</v>
      </c>
      <c r="H2" s="357" t="n">
        <f aca="false">236/400</f>
        <v>0.59</v>
      </c>
      <c r="I2" s="357" t="n">
        <f aca="false">400/400</f>
        <v>1</v>
      </c>
      <c r="J2" s="358" t="n">
        <f aca="false">SUM(C2:I2)-MIN(C2:I2)</f>
        <v>4.4965</v>
      </c>
      <c r="K2" s="358" t="n">
        <f aca="false">J2*1.2</f>
        <v>5.3958</v>
      </c>
      <c r="L2" s="348" t="s">
        <v>103</v>
      </c>
      <c r="M2" s="359" t="s">
        <v>550</v>
      </c>
      <c r="N2" s="359" t="s">
        <v>551</v>
      </c>
      <c r="O2" s="359" t="s">
        <v>552</v>
      </c>
      <c r="P2" s="359" t="s">
        <v>553</v>
      </c>
      <c r="Q2" s="349" t="s">
        <v>554</v>
      </c>
    </row>
    <row r="3" customFormat="false" ht="15" hidden="false" customHeight="false" outlineLevel="0" collapsed="false">
      <c r="A3" s="355" t="s">
        <v>555</v>
      </c>
      <c r="B3" s="355" t="n">
        <v>10</v>
      </c>
      <c r="C3" s="356" t="n">
        <f aca="false">500/500</f>
        <v>1</v>
      </c>
      <c r="D3" s="356" t="n">
        <f aca="false">500/500</f>
        <v>1</v>
      </c>
      <c r="E3" s="348" t="s">
        <v>556</v>
      </c>
      <c r="F3" s="357" t="n">
        <f aca="false">314/400</f>
        <v>0.785</v>
      </c>
      <c r="G3" s="357" t="n">
        <f aca="false">400/400</f>
        <v>1</v>
      </c>
      <c r="H3" s="357" t="n">
        <f aca="false">292/400</f>
        <v>0.73</v>
      </c>
      <c r="I3" s="357" t="n">
        <f aca="false">400/400</f>
        <v>1</v>
      </c>
      <c r="J3" s="358" t="n">
        <f aca="false">SUM(C3:I3)-MIN(C3:I3)</f>
        <v>4.785</v>
      </c>
      <c r="K3" s="358" t="n">
        <f aca="false">J3*1.1</f>
        <v>5.2635</v>
      </c>
      <c r="L3" s="348" t="s">
        <v>103</v>
      </c>
      <c r="M3" s="359" t="s">
        <v>557</v>
      </c>
      <c r="N3" s="359" t="s">
        <v>558</v>
      </c>
      <c r="O3" s="359" t="s">
        <v>559</v>
      </c>
      <c r="P3" s="359" t="s">
        <v>560</v>
      </c>
      <c r="Q3" s="349" t="s">
        <v>561</v>
      </c>
    </row>
    <row r="4" customFormat="false" ht="15" hidden="false" customHeight="false" outlineLevel="0" collapsed="false">
      <c r="A4" s="355" t="s">
        <v>537</v>
      </c>
      <c r="B4" s="355" t="n">
        <v>10</v>
      </c>
      <c r="C4" s="356" t="n">
        <f aca="false">500/500</f>
        <v>1</v>
      </c>
      <c r="D4" s="356" t="n">
        <f aca="false">494/500</f>
        <v>0.988</v>
      </c>
      <c r="E4" s="348" t="s">
        <v>562</v>
      </c>
      <c r="F4" s="357" t="n">
        <f aca="false">269/400</f>
        <v>0.6725</v>
      </c>
      <c r="G4" s="357" t="n">
        <f aca="false">400/400</f>
        <v>1</v>
      </c>
      <c r="H4" s="357" t="n">
        <f aca="false">150/400</f>
        <v>0.375</v>
      </c>
      <c r="I4" s="357" t="n">
        <f aca="false">400/400</f>
        <v>1</v>
      </c>
      <c r="J4" s="358" t="n">
        <f aca="false">SUM(C4:I4)-MIN(C4:I4)</f>
        <v>4.6605</v>
      </c>
      <c r="K4" s="358" t="n">
        <f aca="false">J4*1.1</f>
        <v>5.12655</v>
      </c>
      <c r="L4" s="347" t="s">
        <v>103</v>
      </c>
      <c r="M4" s="359" t="s">
        <v>563</v>
      </c>
      <c r="N4" s="359" t="s">
        <v>564</v>
      </c>
      <c r="O4" s="359" t="s">
        <v>565</v>
      </c>
      <c r="P4" s="359" t="s">
        <v>566</v>
      </c>
      <c r="Q4" s="349" t="s">
        <v>567</v>
      </c>
    </row>
    <row r="5" customFormat="false" ht="15" hidden="false" customHeight="false" outlineLevel="0" collapsed="false">
      <c r="A5" s="355" t="s">
        <v>568</v>
      </c>
      <c r="B5" s="355" t="n">
        <v>11</v>
      </c>
      <c r="C5" s="356" t="n">
        <f aca="false">500/500</f>
        <v>1</v>
      </c>
      <c r="D5" s="356" t="n">
        <f aca="false">480/500</f>
        <v>0.96</v>
      </c>
      <c r="E5" s="348" t="s">
        <v>569</v>
      </c>
      <c r="F5" s="357" t="n">
        <f aca="false">330/400</f>
        <v>0.825</v>
      </c>
      <c r="G5" s="357" t="n">
        <f aca="false">400/400</f>
        <v>1</v>
      </c>
      <c r="H5" s="357" t="n">
        <f aca="false">361/400</f>
        <v>0.9025</v>
      </c>
      <c r="I5" s="357" t="n">
        <f aca="false">400/400</f>
        <v>1</v>
      </c>
      <c r="J5" s="358" t="n">
        <f aca="false">SUM(C5:I5)-MIN(C5:I5)</f>
        <v>4.8625</v>
      </c>
      <c r="K5" s="358" t="n">
        <f aca="false">J5</f>
        <v>4.8625</v>
      </c>
      <c r="L5" s="348" t="s">
        <v>103</v>
      </c>
      <c r="O5" s="347" t="s">
        <v>195</v>
      </c>
      <c r="P5" s="347" t="s">
        <v>195</v>
      </c>
      <c r="Q5" s="349" t="s">
        <v>570</v>
      </c>
    </row>
    <row r="6" customFormat="false" ht="15" hidden="false" customHeight="false" outlineLevel="0" collapsed="false">
      <c r="A6" s="355" t="s">
        <v>530</v>
      </c>
      <c r="B6" s="355" t="n">
        <v>11</v>
      </c>
      <c r="C6" s="356" t="n">
        <f aca="false">445/500</f>
        <v>0.89</v>
      </c>
      <c r="D6" s="356" t="n">
        <f aca="false">484/500</f>
        <v>0.968</v>
      </c>
      <c r="E6" s="348" t="s">
        <v>571</v>
      </c>
      <c r="F6" s="357" t="n">
        <f aca="false">314/400</f>
        <v>0.785</v>
      </c>
      <c r="G6" s="357" t="n">
        <f aca="false">400/400</f>
        <v>1</v>
      </c>
      <c r="H6" s="357" t="n">
        <f aca="false">255/400</f>
        <v>0.6375</v>
      </c>
      <c r="I6" s="357" t="n">
        <f aca="false">400/400</f>
        <v>1</v>
      </c>
      <c r="J6" s="358" t="n">
        <f aca="false">SUM(C6:I6)-MIN(C6:I6)</f>
        <v>4.643</v>
      </c>
      <c r="K6" s="358" t="n">
        <f aca="false">J6</f>
        <v>4.643</v>
      </c>
      <c r="L6" s="347" t="s">
        <v>103</v>
      </c>
      <c r="M6" s="359" t="s">
        <v>572</v>
      </c>
      <c r="N6" s="359" t="s">
        <v>573</v>
      </c>
      <c r="O6" s="359" t="s">
        <v>574</v>
      </c>
      <c r="P6" s="359" t="s">
        <v>575</v>
      </c>
      <c r="Q6" s="349" t="s">
        <v>576</v>
      </c>
    </row>
    <row r="7" customFormat="false" ht="15" hidden="false" customHeight="false" outlineLevel="0" collapsed="false">
      <c r="A7" s="355" t="s">
        <v>540</v>
      </c>
      <c r="B7" s="355" t="n">
        <v>10</v>
      </c>
      <c r="C7" s="356" t="n">
        <f aca="false">433/500</f>
        <v>0.866</v>
      </c>
      <c r="D7" s="356" t="n">
        <f aca="false">404/500</f>
        <v>0.808</v>
      </c>
      <c r="E7" s="348" t="s">
        <v>577</v>
      </c>
      <c r="F7" s="357" t="n">
        <f aca="false">282/400</f>
        <v>0.705</v>
      </c>
      <c r="G7" s="357" t="n">
        <f aca="false">335/400</f>
        <v>0.8375</v>
      </c>
      <c r="H7" s="357" t="n">
        <f aca="false">198/400</f>
        <v>0.495</v>
      </c>
      <c r="I7" s="357" t="n">
        <f aca="false">400/400</f>
        <v>1</v>
      </c>
      <c r="J7" s="358" t="n">
        <f aca="false">SUM(C7:I7)-MIN(C7:I7)</f>
        <v>4.2165</v>
      </c>
      <c r="K7" s="358" t="n">
        <f aca="false">J7*1.1</f>
        <v>4.63815</v>
      </c>
      <c r="L7" s="348" t="s">
        <v>103</v>
      </c>
      <c r="Q7" s="349" t="s">
        <v>578</v>
      </c>
    </row>
    <row r="8" customFormat="false" ht="15" hidden="false" customHeight="false" outlineLevel="0" collapsed="false">
      <c r="A8" s="355" t="s">
        <v>579</v>
      </c>
      <c r="B8" s="355" t="n">
        <v>10</v>
      </c>
      <c r="C8" s="356" t="n">
        <f aca="false">388/500</f>
        <v>0.776</v>
      </c>
      <c r="D8" s="356" t="n">
        <f aca="false">486/500</f>
        <v>0.972</v>
      </c>
      <c r="E8" s="348" t="s">
        <v>580</v>
      </c>
      <c r="F8" s="357" t="n">
        <f aca="false">247/400</f>
        <v>0.6175</v>
      </c>
      <c r="G8" s="357" t="n">
        <f aca="false">335/400</f>
        <v>0.8375</v>
      </c>
      <c r="H8" s="357" t="n">
        <f aca="false">176/400</f>
        <v>0.44</v>
      </c>
      <c r="I8" s="357" t="n">
        <f aca="false">400/400</f>
        <v>1</v>
      </c>
      <c r="J8" s="358" t="n">
        <f aca="false">SUM(C8:I8)-MIN(C8:I8)</f>
        <v>4.203</v>
      </c>
      <c r="K8" s="358" t="n">
        <f aca="false">J8*1.1</f>
        <v>4.6233</v>
      </c>
      <c r="L8" s="348" t="s">
        <v>103</v>
      </c>
      <c r="M8" s="359" t="s">
        <v>581</v>
      </c>
      <c r="N8" s="359" t="s">
        <v>582</v>
      </c>
      <c r="O8" s="359" t="s">
        <v>583</v>
      </c>
      <c r="P8" s="359" t="s">
        <v>584</v>
      </c>
      <c r="Q8" s="349" t="s">
        <v>585</v>
      </c>
    </row>
    <row r="9" customFormat="false" ht="15" hidden="false" customHeight="false" outlineLevel="0" collapsed="false">
      <c r="A9" s="355" t="s">
        <v>586</v>
      </c>
      <c r="B9" s="355" t="n">
        <v>9</v>
      </c>
      <c r="C9" s="356" t="n">
        <f aca="false">396/500</f>
        <v>0.792</v>
      </c>
      <c r="D9" s="356" t="n">
        <f aca="false">410/500</f>
        <v>0.82</v>
      </c>
      <c r="E9" s="348" t="s">
        <v>587</v>
      </c>
      <c r="F9" s="357" t="n">
        <f aca="false">148/400</f>
        <v>0.37</v>
      </c>
      <c r="G9" s="357" t="n">
        <f aca="false">292/400</f>
        <v>0.73</v>
      </c>
      <c r="H9" s="357" t="n">
        <f aca="false">173/400</f>
        <v>0.4325</v>
      </c>
      <c r="I9" s="357" t="n">
        <f aca="false">353/400</f>
        <v>0.8825</v>
      </c>
      <c r="J9" s="358" t="n">
        <f aca="false">SUM(C9:I9)-MIN(C9:I9)</f>
        <v>3.657</v>
      </c>
      <c r="K9" s="358" t="n">
        <f aca="false">J9*1.2</f>
        <v>4.3884</v>
      </c>
      <c r="L9" s="347" t="s">
        <v>103</v>
      </c>
      <c r="M9" s="359" t="s">
        <v>588</v>
      </c>
      <c r="N9" s="360" t="s">
        <v>589</v>
      </c>
      <c r="O9" s="359" t="s">
        <v>590</v>
      </c>
      <c r="P9" s="359" t="s">
        <v>591</v>
      </c>
      <c r="Q9" s="349" t="s">
        <v>592</v>
      </c>
    </row>
    <row r="10" customFormat="false" ht="15" hidden="false" customHeight="false" outlineLevel="0" collapsed="false">
      <c r="A10" s="355" t="s">
        <v>593</v>
      </c>
      <c r="B10" s="355" t="n">
        <v>9</v>
      </c>
      <c r="C10" s="356" t="n">
        <f aca="false">360/500</f>
        <v>0.72</v>
      </c>
      <c r="D10" s="356" t="n">
        <f aca="false">281/500</f>
        <v>0.562</v>
      </c>
      <c r="E10" s="348" t="s">
        <v>594</v>
      </c>
      <c r="F10" s="357" t="n">
        <f aca="false">131/400</f>
        <v>0.3275</v>
      </c>
      <c r="G10" s="357" t="n">
        <f aca="false">400/400</f>
        <v>1</v>
      </c>
      <c r="H10" s="357" t="n">
        <f aca="false">164/400</f>
        <v>0.41</v>
      </c>
      <c r="I10" s="357" t="n">
        <f aca="false">300/400</f>
        <v>0.75</v>
      </c>
      <c r="J10" s="358" t="n">
        <f aca="false">SUM(C10:I10)-MIN(C10:I10)</f>
        <v>3.442</v>
      </c>
      <c r="K10" s="358" t="n">
        <f aca="false">J10*1.2</f>
        <v>4.1304</v>
      </c>
      <c r="L10" s="348" t="s">
        <v>103</v>
      </c>
      <c r="M10" s="359" t="s">
        <v>595</v>
      </c>
      <c r="N10" s="359" t="s">
        <v>596</v>
      </c>
      <c r="O10" s="359" t="s">
        <v>597</v>
      </c>
      <c r="P10" s="359" t="s">
        <v>598</v>
      </c>
      <c r="Q10" s="349" t="s">
        <v>599</v>
      </c>
    </row>
    <row r="11" customFormat="false" ht="15" hidden="false" customHeight="false" outlineLevel="0" collapsed="false">
      <c r="A11" s="355" t="s">
        <v>600</v>
      </c>
      <c r="B11" s="355" t="n">
        <v>10</v>
      </c>
      <c r="C11" s="356" t="n">
        <f aca="false">388/500</f>
        <v>0.776</v>
      </c>
      <c r="D11" s="356" t="n">
        <f aca="false">232/500</f>
        <v>0.464</v>
      </c>
      <c r="E11" s="348" t="s">
        <v>601</v>
      </c>
      <c r="F11" s="357" t="n">
        <f aca="false">185/400</f>
        <v>0.4625</v>
      </c>
      <c r="G11" s="357" t="n">
        <f aca="false">356/400</f>
        <v>0.89</v>
      </c>
      <c r="H11" s="357" t="n">
        <f aca="false">213/400</f>
        <v>0.5325</v>
      </c>
      <c r="I11" s="357" t="n">
        <f aca="false">353/400</f>
        <v>0.8825</v>
      </c>
      <c r="J11" s="358" t="n">
        <f aca="false">SUM(C11:I11)-MIN(C11:I11)</f>
        <v>3.545</v>
      </c>
      <c r="K11" s="358" t="n">
        <f aca="false">J11*1.1</f>
        <v>3.8995</v>
      </c>
      <c r="L11" s="348" t="s">
        <v>103</v>
      </c>
      <c r="M11" s="359" t="s">
        <v>602</v>
      </c>
      <c r="N11" s="359" t="s">
        <v>603</v>
      </c>
      <c r="O11" s="359" t="s">
        <v>604</v>
      </c>
      <c r="P11" s="359" t="s">
        <v>605</v>
      </c>
      <c r="Q11" s="349" t="s">
        <v>606</v>
      </c>
    </row>
    <row r="12" customFormat="false" ht="15" hidden="false" customHeight="false" outlineLevel="0" collapsed="false">
      <c r="A12" s="355" t="s">
        <v>607</v>
      </c>
      <c r="B12" s="355" t="n">
        <v>10</v>
      </c>
      <c r="C12" s="356" t="n">
        <f aca="false">347/500</f>
        <v>0.694</v>
      </c>
      <c r="D12" s="356" t="n">
        <f aca="false">298/500</f>
        <v>0.596</v>
      </c>
      <c r="E12" s="348" t="s">
        <v>608</v>
      </c>
      <c r="F12" s="357" t="n">
        <f aca="false">165/400</f>
        <v>0.4125</v>
      </c>
      <c r="G12" s="357" t="n">
        <f aca="false">377/400</f>
        <v>0.9425</v>
      </c>
      <c r="H12" s="357" t="n">
        <f aca="false">162/400</f>
        <v>0.405</v>
      </c>
      <c r="I12" s="357" t="n">
        <f aca="false">326/400</f>
        <v>0.815</v>
      </c>
      <c r="J12" s="358" t="n">
        <f aca="false">SUM(C12:I12)-MIN(C12:I12)</f>
        <v>3.46</v>
      </c>
      <c r="K12" s="358" t="n">
        <f aca="false">J12*1.1</f>
        <v>3.806</v>
      </c>
      <c r="L12" s="348" t="s">
        <v>103</v>
      </c>
      <c r="M12" s="359" t="s">
        <v>609</v>
      </c>
      <c r="N12" s="359" t="s">
        <v>610</v>
      </c>
      <c r="O12" s="359" t="s">
        <v>611</v>
      </c>
      <c r="P12" s="359" t="s">
        <v>612</v>
      </c>
      <c r="Q12" s="349" t="s">
        <v>613</v>
      </c>
    </row>
    <row r="13" customFormat="false" ht="15" hidden="false" customHeight="false" outlineLevel="0" collapsed="false">
      <c r="A13" s="355" t="s">
        <v>614</v>
      </c>
      <c r="B13" s="355" t="n">
        <v>11</v>
      </c>
      <c r="C13" s="356" t="n">
        <f aca="false">366/500</f>
        <v>0.732</v>
      </c>
      <c r="D13" s="356" t="n">
        <f aca="false">309/500</f>
        <v>0.618</v>
      </c>
      <c r="E13" s="348" t="s">
        <v>615</v>
      </c>
      <c r="F13" s="357" t="n">
        <f aca="false">140/400</f>
        <v>0.35</v>
      </c>
      <c r="G13" s="357" t="n">
        <f aca="false">360/400</f>
        <v>0.9</v>
      </c>
      <c r="H13" s="357" t="n">
        <f aca="false">134/400</f>
        <v>0.335</v>
      </c>
      <c r="I13" s="357" t="n">
        <f aca="false">400/400</f>
        <v>1</v>
      </c>
      <c r="J13" s="358" t="n">
        <f aca="false">SUM(C13:I13)-MIN(C13:I13)</f>
        <v>3.6</v>
      </c>
      <c r="K13" s="358" t="n">
        <f aca="false">J13</f>
        <v>3.6</v>
      </c>
      <c r="L13" s="347" t="s">
        <v>103</v>
      </c>
      <c r="M13" s="359" t="s">
        <v>616</v>
      </c>
      <c r="N13" s="359" t="s">
        <v>617</v>
      </c>
      <c r="O13" s="359" t="s">
        <v>618</v>
      </c>
      <c r="P13" s="359" t="s">
        <v>619</v>
      </c>
      <c r="Q13" s="349" t="s">
        <v>620</v>
      </c>
    </row>
    <row r="14" customFormat="false" ht="15" hidden="false" customHeight="false" outlineLevel="0" collapsed="false">
      <c r="A14" s="355" t="s">
        <v>621</v>
      </c>
      <c r="B14" s="355" t="n">
        <v>10</v>
      </c>
      <c r="C14" s="356" t="n">
        <f aca="false">417/500</f>
        <v>0.834</v>
      </c>
      <c r="D14" s="356" t="n">
        <f aca="false">240/500</f>
        <v>0.48</v>
      </c>
      <c r="E14" s="348" t="s">
        <v>622</v>
      </c>
      <c r="F14" s="357" t="n">
        <f aca="false">139/400</f>
        <v>0.3475</v>
      </c>
      <c r="G14" s="357" t="n">
        <f aca="false">225/400</f>
        <v>0.5625</v>
      </c>
      <c r="H14" s="357" t="n">
        <f aca="false">187/400</f>
        <v>0.4675</v>
      </c>
      <c r="I14" s="357" t="n">
        <f aca="false">333/400</f>
        <v>0.8325</v>
      </c>
      <c r="J14" s="358" t="n">
        <f aca="false">SUM(C14:I14)-MIN(C14:I14)</f>
        <v>3.1765</v>
      </c>
      <c r="K14" s="358" t="n">
        <f aca="false">J14*1.1</f>
        <v>3.49415</v>
      </c>
      <c r="L14" s="348"/>
      <c r="M14" s="359" t="s">
        <v>623</v>
      </c>
      <c r="N14" s="359" t="s">
        <v>624</v>
      </c>
      <c r="O14" s="359" t="s">
        <v>625</v>
      </c>
      <c r="P14" s="361" t="s">
        <v>626</v>
      </c>
      <c r="Q14" s="349" t="s">
        <v>627</v>
      </c>
    </row>
    <row r="15" customFormat="false" ht="15" hidden="false" customHeight="false" outlineLevel="0" collapsed="false">
      <c r="A15" s="355" t="s">
        <v>628</v>
      </c>
      <c r="B15" s="355" t="n">
        <v>11</v>
      </c>
      <c r="C15" s="356" t="n">
        <f aca="false">417/500</f>
        <v>0.834</v>
      </c>
      <c r="D15" s="356" t="n">
        <f aca="false">240/500</f>
        <v>0.48</v>
      </c>
      <c r="E15" s="348" t="s">
        <v>629</v>
      </c>
      <c r="F15" s="357" t="n">
        <f aca="false">131/400</f>
        <v>0.3275</v>
      </c>
      <c r="G15" s="357" t="n">
        <f aca="false">335/400</f>
        <v>0.8375</v>
      </c>
      <c r="H15" s="357" t="n">
        <f aca="false">162/400</f>
        <v>0.405</v>
      </c>
      <c r="I15" s="357" t="n">
        <f aca="false">326/400</f>
        <v>0.815</v>
      </c>
      <c r="J15" s="358" t="n">
        <f aca="false">SUM(C15:I15)-MIN(C15:I15)</f>
        <v>3.3715</v>
      </c>
      <c r="K15" s="358" t="n">
        <f aca="false">J15</f>
        <v>3.3715</v>
      </c>
      <c r="L15" s="348"/>
      <c r="M15" s="359" t="s">
        <v>630</v>
      </c>
      <c r="N15" s="359" t="s">
        <v>631</v>
      </c>
      <c r="O15" s="359" t="s">
        <v>632</v>
      </c>
      <c r="P15" s="359" t="s">
        <v>633</v>
      </c>
      <c r="Q15" s="349" t="s">
        <v>634</v>
      </c>
    </row>
    <row r="16" customFormat="false" ht="15" hidden="false" customHeight="false" outlineLevel="0" collapsed="false">
      <c r="A16" s="355" t="s">
        <v>635</v>
      </c>
      <c r="B16" s="355" t="n">
        <v>11</v>
      </c>
      <c r="C16" s="356" t="n">
        <f aca="false">352/500</f>
        <v>0.704</v>
      </c>
      <c r="D16" s="356" t="n">
        <f aca="false">228/500</f>
        <v>0.456</v>
      </c>
      <c r="E16" s="348" t="s">
        <v>636</v>
      </c>
      <c r="F16" s="357" t="n">
        <f aca="false">117/400</f>
        <v>0.2925</v>
      </c>
      <c r="G16" s="357" t="n">
        <f aca="false">256/400</f>
        <v>0.64</v>
      </c>
      <c r="H16" s="357" t="n">
        <f aca="false">166/400</f>
        <v>0.415</v>
      </c>
      <c r="I16" s="357" t="n">
        <f aca="false">353/400</f>
        <v>0.8825</v>
      </c>
      <c r="J16" s="358" t="n">
        <f aca="false">SUM(C16:I16)-MIN(C16:I16)</f>
        <v>3.0975</v>
      </c>
      <c r="K16" s="358" t="n">
        <f aca="false">J16</f>
        <v>3.0975</v>
      </c>
      <c r="L16" s="348"/>
      <c r="M16" s="359" t="s">
        <v>637</v>
      </c>
      <c r="N16" s="359" t="s">
        <v>638</v>
      </c>
      <c r="O16" s="359" t="s">
        <v>639</v>
      </c>
      <c r="P16" s="359" t="s">
        <v>640</v>
      </c>
      <c r="Q16" s="349" t="s">
        <v>641</v>
      </c>
    </row>
    <row r="17" customFormat="false" ht="15" hidden="false" customHeight="false" outlineLevel="0" collapsed="false">
      <c r="A17" s="355" t="s">
        <v>642</v>
      </c>
      <c r="B17" s="355" t="n">
        <v>11</v>
      </c>
      <c r="C17" s="356" t="n">
        <f aca="false">383/500</f>
        <v>0.766</v>
      </c>
      <c r="D17" s="356" t="n">
        <f aca="false">309/500</f>
        <v>0.618</v>
      </c>
      <c r="E17" s="348" t="s">
        <v>643</v>
      </c>
      <c r="F17" s="357" t="n">
        <f aca="false">157/400</f>
        <v>0.3925</v>
      </c>
      <c r="G17" s="357" t="n">
        <f aca="false">225/400</f>
        <v>0.5625</v>
      </c>
      <c r="H17" s="357" t="n">
        <f aca="false">141/400</f>
        <v>0.3525</v>
      </c>
      <c r="I17" s="357" t="n">
        <f aca="false">300/400</f>
        <v>0.75</v>
      </c>
      <c r="J17" s="358" t="n">
        <f aca="false">SUM(C17:I17)-MIN(C17:I17)</f>
        <v>3.089</v>
      </c>
      <c r="K17" s="358" t="n">
        <f aca="false">J17</f>
        <v>3.089</v>
      </c>
      <c r="L17" s="348"/>
      <c r="M17" s="359" t="s">
        <v>644</v>
      </c>
      <c r="N17" s="359" t="s">
        <v>645</v>
      </c>
      <c r="O17" s="359" t="s">
        <v>646</v>
      </c>
      <c r="P17" s="359" t="s">
        <v>647</v>
      </c>
      <c r="Q17" s="349" t="s">
        <v>648</v>
      </c>
    </row>
    <row r="18" customFormat="false" ht="15" hidden="false" customHeight="false" outlineLevel="0" collapsed="false">
      <c r="A18" s="355" t="s">
        <v>649</v>
      </c>
      <c r="B18" s="355" t="n">
        <v>9</v>
      </c>
      <c r="C18" s="356" t="n">
        <f aca="false">366/500</f>
        <v>0.732</v>
      </c>
      <c r="D18" s="356" t="n">
        <f aca="false">234/500</f>
        <v>0.468</v>
      </c>
      <c r="E18" s="348" t="s">
        <v>650</v>
      </c>
      <c r="F18" s="357" t="n">
        <f aca="false">140/400</f>
        <v>0.35</v>
      </c>
      <c r="G18" s="357" t="n">
        <f aca="false">140/400</f>
        <v>0.35</v>
      </c>
      <c r="H18" s="357" t="n">
        <f aca="false">116/400</f>
        <v>0.29</v>
      </c>
      <c r="I18" s="357" t="n">
        <f aca="false">239/400</f>
        <v>0.5975</v>
      </c>
      <c r="J18" s="358" t="n">
        <f aca="false">SUM(C18:I18)-MIN(C18:I18)</f>
        <v>2.4975</v>
      </c>
      <c r="K18" s="358" t="n">
        <f aca="false">J18*1.2</f>
        <v>2.997</v>
      </c>
      <c r="L18" s="348"/>
      <c r="M18" s="359" t="s">
        <v>651</v>
      </c>
      <c r="N18" s="359" t="s">
        <v>652</v>
      </c>
      <c r="O18" s="359" t="s">
        <v>653</v>
      </c>
      <c r="P18" s="359" t="s">
        <v>654</v>
      </c>
      <c r="Q18" s="349" t="s">
        <v>655</v>
      </c>
    </row>
    <row r="19" customFormat="false" ht="15" hidden="false" customHeight="false" outlineLevel="0" collapsed="false">
      <c r="A19" s="355" t="s">
        <v>656</v>
      </c>
      <c r="B19" s="355" t="n">
        <v>10</v>
      </c>
      <c r="C19" s="356" t="n">
        <f aca="false">326/500</f>
        <v>0.652</v>
      </c>
      <c r="D19" s="356" t="n">
        <f aca="false">264/500</f>
        <v>0.528</v>
      </c>
      <c r="E19" s="348" t="s">
        <v>657</v>
      </c>
      <c r="F19" s="357" t="n">
        <f aca="false">148/400</f>
        <v>0.37</v>
      </c>
      <c r="G19" s="357" t="n">
        <f aca="false">150/400</f>
        <v>0.375</v>
      </c>
      <c r="H19" s="357" t="n">
        <f aca="false">153/400</f>
        <v>0.3825</v>
      </c>
      <c r="I19" s="357" t="n">
        <f aca="false">220/400</f>
        <v>0.55</v>
      </c>
      <c r="J19" s="358" t="n">
        <f aca="false">SUM(C19:I19)-MIN(C19:I19)</f>
        <v>2.4875</v>
      </c>
      <c r="K19" s="358" t="n">
        <f aca="false">J19*1.1</f>
        <v>2.73625</v>
      </c>
      <c r="M19" s="359" t="s">
        <v>658</v>
      </c>
      <c r="N19" s="359" t="s">
        <v>659</v>
      </c>
      <c r="O19" s="359" t="s">
        <v>660</v>
      </c>
      <c r="P19" s="359" t="s">
        <v>661</v>
      </c>
      <c r="Q19" s="349" t="s">
        <v>662</v>
      </c>
    </row>
    <row r="20" customFormat="false" ht="15" hidden="false" customHeight="false" outlineLevel="0" collapsed="false">
      <c r="A20" s="355" t="s">
        <v>526</v>
      </c>
      <c r="B20" s="355" t="n">
        <v>11</v>
      </c>
      <c r="C20" s="356" t="n">
        <f aca="false">500/500</f>
        <v>1</v>
      </c>
      <c r="D20" s="356" t="n">
        <f aca="false">500/500</f>
        <v>1</v>
      </c>
      <c r="E20" s="348" t="s">
        <v>663</v>
      </c>
      <c r="F20" s="357" t="n">
        <f aca="false">0/400</f>
        <v>0</v>
      </c>
      <c r="G20" s="357" t="n">
        <v>0</v>
      </c>
      <c r="H20" s="357" t="n">
        <v>0</v>
      </c>
      <c r="I20" s="357" t="n">
        <v>0</v>
      </c>
      <c r="J20" s="358" t="n">
        <f aca="false">SUM(C20:I20)-MIN(C20:I20)</f>
        <v>2</v>
      </c>
      <c r="K20" s="358" t="n">
        <f aca="false">J20</f>
        <v>2</v>
      </c>
      <c r="L20" s="348" t="s">
        <v>664</v>
      </c>
      <c r="O20" s="347" t="s">
        <v>195</v>
      </c>
      <c r="P20" s="347" t="s">
        <v>195</v>
      </c>
      <c r="Q20" s="349" t="s">
        <v>665</v>
      </c>
    </row>
    <row r="21" customFormat="false" ht="15" hidden="false" customHeight="false" outlineLevel="0" collapsed="false">
      <c r="J21" s="358"/>
    </row>
    <row r="22" customFormat="false" ht="15" hidden="false" customHeight="false" outlineLevel="0" collapsed="false">
      <c r="L22" s="348"/>
    </row>
    <row r="31" customFormat="false" ht="15" hidden="false" customHeight="false" outlineLevel="0" collapsed="false">
      <c r="M31" s="348"/>
    </row>
  </sheetData>
  <hyperlinks>
    <hyperlink ref="P14" r:id="rId2" display="https://youtu.be/M_TZVgPmAKI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Roman,Звичайний"&amp;12Сторінка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" activeCellId="0" sqref="K3"/>
    </sheetView>
  </sheetViews>
  <sheetFormatPr defaultColWidth="9.15625" defaultRowHeight="15.75" zeroHeight="false" outlineLevelRow="0" outlineLevelCol="0"/>
  <cols>
    <col collapsed="false" customWidth="true" hidden="false" outlineLevel="0" max="1" min="1" style="10" width="36"/>
    <col collapsed="false" customWidth="true" hidden="false" outlineLevel="0" max="2" min="2" style="22" width="8.14"/>
    <col collapsed="false" customWidth="true" hidden="false" outlineLevel="0" max="3" min="3" style="22" width="6.15"/>
    <col collapsed="false" customWidth="true" hidden="false" outlineLevel="0" max="6" min="4" style="23" width="6.71"/>
    <col collapsed="false" customWidth="true" hidden="false" outlineLevel="0" max="10" min="7" style="11" width="6.71"/>
    <col collapsed="false" customWidth="true" hidden="false" outlineLevel="0" max="11" min="11" style="11" width="8.29"/>
    <col collapsed="false" customWidth="true" hidden="false" outlineLevel="0" max="12" min="12" style="22" width="6.71"/>
    <col collapsed="false" customWidth="false" hidden="false" outlineLevel="0" max="13" min="13" style="24" width="9.14"/>
    <col collapsed="false" customWidth="false" hidden="false" outlineLevel="0" max="1024" min="14" style="10" width="9.14"/>
  </cols>
  <sheetData>
    <row r="1" s="15" customFormat="true" ht="18" hidden="false" customHeight="true" outlineLevel="0" collapsed="false">
      <c r="A1" s="12" t="s">
        <v>119</v>
      </c>
      <c r="B1" s="12" t="s">
        <v>2</v>
      </c>
      <c r="C1" s="12" t="s">
        <v>1</v>
      </c>
      <c r="D1" s="14" t="s">
        <v>120</v>
      </c>
      <c r="E1" s="14" t="s">
        <v>121</v>
      </c>
      <c r="F1" s="25" t="s">
        <v>122</v>
      </c>
      <c r="G1" s="14" t="s">
        <v>123</v>
      </c>
      <c r="H1" s="26" t="s">
        <v>124</v>
      </c>
      <c r="I1" s="14" t="s">
        <v>125</v>
      </c>
      <c r="J1" s="14" t="s">
        <v>126</v>
      </c>
      <c r="K1" s="27" t="s">
        <v>127</v>
      </c>
      <c r="L1" s="12" t="s">
        <v>3</v>
      </c>
      <c r="M1" s="12" t="s">
        <v>4</v>
      </c>
    </row>
    <row r="2" customFormat="false" ht="15.75" hidden="false" customHeight="false" outlineLevel="0" collapsed="false">
      <c r="A2" s="28" t="s">
        <v>128</v>
      </c>
      <c r="B2" s="29" t="n">
        <v>171</v>
      </c>
      <c r="C2" s="29" t="n">
        <v>9</v>
      </c>
      <c r="D2" s="30" t="n">
        <v>1</v>
      </c>
      <c r="E2" s="31" t="n">
        <f aca="false">(9+10)/21</f>
        <v>0.904761904761905</v>
      </c>
      <c r="F2" s="31" t="n">
        <f aca="false">(10+14)/44</f>
        <v>0.545454545454545</v>
      </c>
      <c r="G2" s="32" t="n">
        <v>1</v>
      </c>
      <c r="H2" s="31" t="n">
        <f aca="false">(2+26)/86</f>
        <v>0.325581395348837</v>
      </c>
      <c r="I2" s="31" t="n">
        <f aca="false">((2+2+0+0+2)+(2+2+2+2))/26</f>
        <v>0.538461538461538</v>
      </c>
      <c r="J2" s="32" t="n">
        <v>1</v>
      </c>
      <c r="K2" s="31" t="n">
        <f aca="false">(0+(6+6+6+6+6+0))/117</f>
        <v>0.256410256410256</v>
      </c>
      <c r="L2" s="33" t="n">
        <f aca="false">SUM(D2:K2,-MIN(D2:K2))</f>
        <v>5.31425938402683</v>
      </c>
      <c r="M2" s="19" t="s">
        <v>103</v>
      </c>
    </row>
    <row r="3" customFormat="false" ht="15.75" hidden="false" customHeight="false" outlineLevel="0" collapsed="false">
      <c r="A3" s="34" t="s">
        <v>129</v>
      </c>
      <c r="B3" s="29" t="s">
        <v>6</v>
      </c>
      <c r="C3" s="6" t="n">
        <v>10</v>
      </c>
      <c r="D3" s="31" t="n">
        <f aca="false">((5+0+0+0+0+0+0+0+0+0+5+5)+(6+6+6+6+6+6+6+6+6+0))/120</f>
        <v>0.575</v>
      </c>
      <c r="E3" s="31" t="n">
        <f aca="false">(9+0)/21</f>
        <v>0.428571428571429</v>
      </c>
      <c r="F3" s="18" t="n">
        <f aca="false">(10+2)/44</f>
        <v>0.272727272727273</v>
      </c>
      <c r="G3" s="32" t="n">
        <v>1</v>
      </c>
      <c r="H3" s="31" t="n">
        <f aca="false">(8+34)/86</f>
        <v>0.488372093023256</v>
      </c>
      <c r="I3" s="31" t="n">
        <f aca="false">(10+(2+4+2+4))/26</f>
        <v>0.846153846153846</v>
      </c>
      <c r="J3" s="31" t="n">
        <f aca="false">((1+1+1+1+1+1+1+1+0+0+0)+12)/26</f>
        <v>0.769230769230769</v>
      </c>
      <c r="K3" s="32" t="n">
        <v>1</v>
      </c>
      <c r="L3" s="33" t="n">
        <f aca="false">SUM(D3:K3,-MIN(D3:K3))</f>
        <v>5.1073281369793</v>
      </c>
      <c r="M3" s="19" t="s">
        <v>103</v>
      </c>
    </row>
    <row r="4" customFormat="false" ht="15.75" hidden="false" customHeight="false" outlineLevel="0" collapsed="false">
      <c r="A4" s="28" t="s">
        <v>130</v>
      </c>
      <c r="B4" s="29" t="n">
        <v>171</v>
      </c>
      <c r="C4" s="29" t="n">
        <v>10</v>
      </c>
      <c r="D4" s="31" t="n">
        <f aca="false">(0+54)/120</f>
        <v>0.45</v>
      </c>
      <c r="E4" s="31" t="n">
        <f aca="false">(6+0)/21</f>
        <v>0.285714285714286</v>
      </c>
      <c r="F4" s="35" t="n">
        <f aca="false">(10+1)/44</f>
        <v>0.25</v>
      </c>
      <c r="G4" s="31" t="n">
        <f aca="false">(20+20)/50</f>
        <v>0.8</v>
      </c>
      <c r="H4" s="31" t="n">
        <f aca="false">(10+22)/86</f>
        <v>0.372093023255814</v>
      </c>
      <c r="I4" s="36" t="n">
        <v>0</v>
      </c>
      <c r="J4" s="31" t="n">
        <f aca="false">((1+1+1+1+1+1+1+1+0+0+0)+0)/26</f>
        <v>0.307692307692308</v>
      </c>
      <c r="K4" s="31" t="n">
        <f aca="false">((3+3+3+3+3+3+0+0+0+0+0+0+0+0+0+0+0+0+0+0)+(6+6+6+6+6+6))/117</f>
        <v>0.461538461538462</v>
      </c>
      <c r="L4" s="33" t="n">
        <f aca="false">SUM(D4:K4,-MIN(D4:K4))</f>
        <v>2.92703807820087</v>
      </c>
      <c r="M4" s="37" t="s">
        <v>103</v>
      </c>
    </row>
    <row r="5" customFormat="false" ht="15.75" hidden="false" customHeight="false" outlineLevel="0" collapsed="false">
      <c r="A5" s="34" t="s">
        <v>131</v>
      </c>
      <c r="B5" s="29" t="n">
        <v>100</v>
      </c>
      <c r="C5" s="6" t="n">
        <v>10</v>
      </c>
      <c r="D5" s="31" t="n">
        <f aca="false">((5+4+2+2+0+0+0+0+0+0+0+1)+(2+2+2+2+2+2+2+2+0+0))/120</f>
        <v>0.25</v>
      </c>
      <c r="E5" s="31" t="n">
        <f aca="false">(9+0)/21</f>
        <v>0.428571428571429</v>
      </c>
      <c r="F5" s="31" t="n">
        <f aca="false">(10+12)/44</f>
        <v>0.5</v>
      </c>
      <c r="G5" s="31" t="n">
        <f aca="false">(0+20)/50</f>
        <v>0.4</v>
      </c>
      <c r="H5" s="31" t="n">
        <f aca="false">(14+24)/86</f>
        <v>0.441860465116279</v>
      </c>
      <c r="I5" s="31" t="n">
        <f aca="false">((2+0+0+0+0)+(2+4+2+2))/26</f>
        <v>0.461538461538462</v>
      </c>
      <c r="J5" s="31" t="n">
        <f aca="false">((1+1+1+1+1+1+1+1+0+0+0)+0)/26</f>
        <v>0.307692307692308</v>
      </c>
      <c r="K5" s="31" t="n">
        <f aca="false">(0+36)/117</f>
        <v>0.307692307692308</v>
      </c>
      <c r="L5" s="38" t="n">
        <f aca="false">SUM(D5:K5,-MIN(D5:K5))</f>
        <v>2.84735497061078</v>
      </c>
      <c r="M5" s="37" t="s">
        <v>103</v>
      </c>
    </row>
    <row r="6" customFormat="false" ht="15.75" hidden="false" customHeight="false" outlineLevel="0" collapsed="false">
      <c r="A6" s="28" t="s">
        <v>132</v>
      </c>
      <c r="B6" s="29" t="n">
        <v>145</v>
      </c>
      <c r="C6" s="29" t="n">
        <v>9</v>
      </c>
      <c r="D6" s="31" t="n">
        <f aca="false">(0+20)/120</f>
        <v>0.166666666666667</v>
      </c>
      <c r="E6" s="32" t="n">
        <v>1</v>
      </c>
      <c r="F6" s="31" t="n">
        <f aca="false">(0+10)/44</f>
        <v>0.227272727272727</v>
      </c>
      <c r="G6" s="31" t="n">
        <f aca="false">(0+(0+0+2+4+4+0))/50</f>
        <v>0.2</v>
      </c>
      <c r="H6" s="31" t="n">
        <f aca="false">(0+8)/86</f>
        <v>0.0930232558139535</v>
      </c>
      <c r="I6" s="31" t="n">
        <f aca="false">(0+9)/26</f>
        <v>0.346153846153846</v>
      </c>
      <c r="J6" s="31" t="n">
        <f aca="false">((1+1+1+1+1+0+1+1+2+0+0)+0)/26</f>
        <v>0.346153846153846</v>
      </c>
      <c r="K6" s="36" t="n">
        <v>0</v>
      </c>
      <c r="L6" s="33" t="n">
        <f aca="false">SUM(D6:K6,-MIN(D6:K6))</f>
        <v>2.37927034206104</v>
      </c>
      <c r="M6" s="37" t="s">
        <v>103</v>
      </c>
    </row>
    <row r="7" customFormat="false" ht="15.75" hidden="false" customHeight="false" outlineLevel="0" collapsed="false">
      <c r="A7" s="34" t="s">
        <v>133</v>
      </c>
      <c r="B7" s="29" t="s">
        <v>6</v>
      </c>
      <c r="C7" s="6" t="n">
        <v>10</v>
      </c>
      <c r="D7" s="31" t="n">
        <f aca="false">(0+56)/120</f>
        <v>0.466666666666667</v>
      </c>
      <c r="E7" s="31" t="n">
        <f aca="false">(9+0)/21</f>
        <v>0.428571428571429</v>
      </c>
      <c r="F7" s="31" t="n">
        <f aca="false">(10+2)/44</f>
        <v>0.272727272727273</v>
      </c>
      <c r="G7" s="31" t="n">
        <f aca="false">(8+2)/50</f>
        <v>0.2</v>
      </c>
      <c r="H7" s="31" t="n">
        <f aca="false">(0+26)/86</f>
        <v>0.302325581395349</v>
      </c>
      <c r="I7" s="31" t="n">
        <f aca="false">((2+0+2+2+2)+0)/26</f>
        <v>0.307692307692308</v>
      </c>
      <c r="J7" s="31" t="n">
        <f aca="false">((1+1+1+1+1+1+1+1+0+0+0)+0)/26</f>
        <v>0.307692307692308</v>
      </c>
      <c r="K7" s="36" t="n">
        <v>0</v>
      </c>
      <c r="L7" s="38" t="n">
        <f aca="false">SUM(D7:K7,-MIN(D7:K7))</f>
        <v>2.28567556474533</v>
      </c>
      <c r="M7" s="37" t="s">
        <v>103</v>
      </c>
    </row>
    <row r="8" customFormat="false" ht="15.75" hidden="false" customHeight="false" outlineLevel="0" collapsed="false">
      <c r="A8" s="34" t="s">
        <v>134</v>
      </c>
      <c r="B8" s="29" t="s">
        <v>6</v>
      </c>
      <c r="C8" s="6" t="n">
        <v>10</v>
      </c>
      <c r="D8" s="31" t="n">
        <f aca="false">(0+(6+2+2+2+6+6+6+6+6+0))/120</f>
        <v>0.35</v>
      </c>
      <c r="E8" s="31" t="n">
        <f aca="false">(9+0)/21</f>
        <v>0.428571428571429</v>
      </c>
      <c r="F8" s="31" t="n">
        <f aca="false">((2+2+2+2+0)+3)/44</f>
        <v>0.25</v>
      </c>
      <c r="G8" s="31" t="n">
        <f aca="false">(0+2)/50</f>
        <v>0.04</v>
      </c>
      <c r="H8" s="31" t="n">
        <f aca="false">(8+4)/86</f>
        <v>0.13953488372093</v>
      </c>
      <c r="I8" s="31" t="n">
        <f aca="false">(10+(0+1+1+1))/26</f>
        <v>0.5</v>
      </c>
      <c r="J8" s="31" t="n">
        <f aca="false">((1+1+1+1+1+1+1+1+0+0+0)+0)/26</f>
        <v>0.307692307692308</v>
      </c>
      <c r="K8" s="31" t="n">
        <f aca="false">(0+(6+6+0+0+0+0))/117</f>
        <v>0.102564102564103</v>
      </c>
      <c r="L8" s="33" t="n">
        <f aca="false">SUM(D8:K8,-MIN(D8:K8))</f>
        <v>2.07836272254877</v>
      </c>
      <c r="M8" s="37" t="s">
        <v>103</v>
      </c>
    </row>
    <row r="9" customFormat="false" ht="15.75" hidden="false" customHeight="false" outlineLevel="0" collapsed="false">
      <c r="A9" s="28" t="s">
        <v>135</v>
      </c>
      <c r="B9" s="29" t="n">
        <v>171</v>
      </c>
      <c r="C9" s="29" t="n">
        <v>10</v>
      </c>
      <c r="D9" s="31" t="n">
        <f aca="false">((3+1+0+0+0+0+0+0+0+0+0+0)+0)/120</f>
        <v>0.0333333333333333</v>
      </c>
      <c r="E9" s="31" t="n">
        <f aca="false">(9+(2+2+2+0+0+0))/21</f>
        <v>0.714285714285714</v>
      </c>
      <c r="F9" s="31" t="n">
        <f aca="false">((2+2+2+0+0)+1)/44</f>
        <v>0.159090909090909</v>
      </c>
      <c r="G9" s="31" t="n">
        <f aca="false">(8+0)/50</f>
        <v>0.16</v>
      </c>
      <c r="H9" s="31" t="n">
        <f aca="false">(0+12)/86</f>
        <v>0.13953488372093</v>
      </c>
      <c r="I9" s="36" t="n">
        <v>0</v>
      </c>
      <c r="J9" s="31" t="n">
        <f aca="false">((1+1+1+1+1+1+1+1+0+0+0)+0)/26</f>
        <v>0.307692307692308</v>
      </c>
      <c r="K9" s="31" t="n">
        <f aca="false">((3+3+3+3+3+3+0+0+0+0+0+0+0+0+0+0+0+0+0+0)+(6+6+6+6+6+0))/117</f>
        <v>0.41025641025641</v>
      </c>
      <c r="L9" s="33" t="n">
        <f aca="false">SUM(D9:K9,-MIN(D9:K9))</f>
        <v>1.9241935583796</v>
      </c>
      <c r="M9" s="19" t="s">
        <v>103</v>
      </c>
    </row>
    <row r="10" customFormat="false" ht="15.75" hidden="false" customHeight="false" outlineLevel="0" collapsed="false">
      <c r="A10" s="39" t="s">
        <v>136</v>
      </c>
      <c r="B10" s="29" t="s">
        <v>137</v>
      </c>
      <c r="C10" s="29" t="n">
        <v>9</v>
      </c>
      <c r="D10" s="31" t="n">
        <f aca="false">(0+52)/120</f>
        <v>0.433333333333333</v>
      </c>
      <c r="E10" s="36" t="n">
        <v>0</v>
      </c>
      <c r="F10" s="31" t="n">
        <f aca="false">((2+2+2+0+0)+0)/44</f>
        <v>0.136363636363636</v>
      </c>
      <c r="G10" s="31" t="n">
        <f aca="false">(0+20)/50</f>
        <v>0.4</v>
      </c>
      <c r="H10" s="31" t="n">
        <f aca="false">(0+6)/86</f>
        <v>0.0697674418604651</v>
      </c>
      <c r="I10" s="36" t="n">
        <v>0</v>
      </c>
      <c r="J10" s="31" t="n">
        <f aca="false">((1+1+1+1+1+1+0+0+0+0+0)+(1+1+1+1+2+2+2+2))/26</f>
        <v>0.692307692307692</v>
      </c>
      <c r="K10" s="36" t="n">
        <v>0</v>
      </c>
      <c r="L10" s="33" t="n">
        <f aca="false">SUM(D10:K10,-MIN(D10:K10))</f>
        <v>1.73177210386513</v>
      </c>
      <c r="M10" s="19" t="s">
        <v>103</v>
      </c>
    </row>
    <row r="11" customFormat="false" ht="15.75" hidden="false" customHeight="false" outlineLevel="0" collapsed="false">
      <c r="A11" s="40" t="s">
        <v>138</v>
      </c>
      <c r="B11" s="29" t="n">
        <v>171</v>
      </c>
      <c r="C11" s="41" t="n">
        <v>9</v>
      </c>
      <c r="D11" s="31" t="n">
        <f aca="false">(0+6)/120</f>
        <v>0.05</v>
      </c>
      <c r="E11" s="31" t="n">
        <f aca="false">(3+0)/21</f>
        <v>0.142857142857143</v>
      </c>
      <c r="F11" s="31" t="n">
        <f aca="false">((2+2+2+0+0)+0)/44</f>
        <v>0.136363636363636</v>
      </c>
      <c r="G11" s="31" t="n">
        <f aca="false">(0+20)/50</f>
        <v>0.4</v>
      </c>
      <c r="H11" s="31" t="n">
        <f aca="false">(0+16)/86</f>
        <v>0.186046511627907</v>
      </c>
      <c r="I11" s="31" t="n">
        <f aca="false">((2+2+2+0+0)+0)/26</f>
        <v>0.230769230769231</v>
      </c>
      <c r="J11" s="31" t="n">
        <f aca="false">((1+1+1+1+1+0+1+1+0+0+0)+0)/26</f>
        <v>0.269230769230769</v>
      </c>
      <c r="K11" s="31" t="n">
        <f aca="false">(0+(6+6+0+0+0+0))/117</f>
        <v>0.102564102564103</v>
      </c>
      <c r="L11" s="33" t="n">
        <f aca="false">SUM(D11:K11,-MIN(D11:K11))</f>
        <v>1.46783139341279</v>
      </c>
      <c r="M11" s="16" t="s">
        <v>139</v>
      </c>
    </row>
    <row r="12" customFormat="false" ht="15.75" hidden="false" customHeight="false" outlineLevel="0" collapsed="false">
      <c r="A12" s="39" t="s">
        <v>140</v>
      </c>
      <c r="B12" s="29" t="s">
        <v>141</v>
      </c>
      <c r="C12" s="29" t="n">
        <v>11</v>
      </c>
      <c r="D12" s="36" t="n">
        <v>0</v>
      </c>
      <c r="E12" s="31" t="n">
        <f aca="false">(9+0)/21</f>
        <v>0.428571428571429</v>
      </c>
      <c r="F12" s="31" t="n">
        <f aca="false">((2+2+2+0+0)+3)/44</f>
        <v>0.204545454545455</v>
      </c>
      <c r="G12" s="31" t="n">
        <f aca="false">((0+0+2+0+0+0)+0)/50</f>
        <v>0.04</v>
      </c>
      <c r="H12" s="31" t="n">
        <f aca="false">(4+10)/86</f>
        <v>0.162790697674419</v>
      </c>
      <c r="I12" s="31" t="n">
        <f aca="false">(0+(1+1+1+1))/26</f>
        <v>0.153846153846154</v>
      </c>
      <c r="J12" s="31" t="n">
        <f aca="false">((1+1+1+0+1+1+0+0+0+0+0)+0)/26</f>
        <v>0.192307692307692</v>
      </c>
      <c r="K12" s="31" t="n">
        <f aca="false">(0+(6+6+0+0+0+0))/117</f>
        <v>0.102564102564103</v>
      </c>
      <c r="L12" s="33" t="n">
        <f aca="false">SUM(D12:K12,-MIN(D12:K12))</f>
        <v>1.28462552950925</v>
      </c>
      <c r="M12" s="19" t="s">
        <v>103</v>
      </c>
    </row>
    <row r="13" customFormat="false" ht="15.75" hidden="false" customHeight="false" outlineLevel="0" collapsed="false">
      <c r="A13" s="28" t="s">
        <v>142</v>
      </c>
      <c r="B13" s="29" t="n">
        <v>171</v>
      </c>
      <c r="C13" s="29" t="n">
        <v>11</v>
      </c>
      <c r="D13" s="36" t="n">
        <v>0</v>
      </c>
      <c r="E13" s="36" t="n">
        <v>0</v>
      </c>
      <c r="F13" s="31" t="n">
        <f aca="false">((2+2+2+0+0)+0)/44</f>
        <v>0.136363636363636</v>
      </c>
      <c r="G13" s="31" t="n">
        <f aca="false">(0+2)/50</f>
        <v>0.04</v>
      </c>
      <c r="H13" s="31" t="n">
        <f aca="false">(0+2)/86</f>
        <v>0.0232558139534884</v>
      </c>
      <c r="I13" s="31" t="n">
        <f aca="false">(1+0+1+1)/26</f>
        <v>0.115384615384615</v>
      </c>
      <c r="J13" s="31" t="n">
        <f aca="false">((1+0+1+1+0+1+0+0+0+0+0)+0)/26</f>
        <v>0.153846153846154</v>
      </c>
      <c r="K13" s="31" t="n">
        <f aca="false">(0+(6+6+0+0+0+0))/117</f>
        <v>0.102564102564103</v>
      </c>
      <c r="L13" s="33" t="n">
        <f aca="false">SUM(D13:K13,-MIN(D13:K13))</f>
        <v>0.571414322111997</v>
      </c>
      <c r="M13" s="3"/>
    </row>
    <row r="14" customFormat="false" ht="15.75" hidden="false" customHeight="false" outlineLevel="0" collapsed="false">
      <c r="A14" s="28" t="s">
        <v>143</v>
      </c>
      <c r="B14" s="29" t="n">
        <v>171</v>
      </c>
      <c r="C14" s="29" t="n">
        <v>11</v>
      </c>
      <c r="D14" s="18" t="n">
        <v>0</v>
      </c>
      <c r="E14" s="36" t="n">
        <v>0</v>
      </c>
      <c r="F14" s="31" t="n">
        <f aca="false">((2+2+0+0+0)+0)/44</f>
        <v>0.0909090909090909</v>
      </c>
      <c r="G14" s="36" t="n">
        <v>0</v>
      </c>
      <c r="H14" s="31" t="n">
        <f aca="false">(0+18)/86</f>
        <v>0.209302325581395</v>
      </c>
      <c r="I14" s="36" t="n">
        <v>0</v>
      </c>
      <c r="J14" s="36" t="n">
        <v>0</v>
      </c>
      <c r="K14" s="31" t="n">
        <f aca="false">(0+(6+6+0+0+0+0))/117</f>
        <v>0.102564102564103</v>
      </c>
      <c r="L14" s="33" t="n">
        <f aca="false">SUM(D14:K14,-MIN(D14:K14))</f>
        <v>0.402775519054589</v>
      </c>
      <c r="M14" s="3"/>
    </row>
    <row r="15" customFormat="false" ht="15.75" hidden="false" customHeight="false" outlineLevel="0" collapsed="false">
      <c r="A15" s="34" t="s">
        <v>144</v>
      </c>
      <c r="B15" s="29" t="n">
        <v>241</v>
      </c>
      <c r="C15" s="6" t="n">
        <v>10</v>
      </c>
      <c r="D15" s="36" t="n">
        <v>0</v>
      </c>
      <c r="E15" s="36" t="n">
        <v>0</v>
      </c>
      <c r="F15" s="31" t="n">
        <f aca="false">((2+0+2+0+0)+1)/44</f>
        <v>0.113636363636364</v>
      </c>
      <c r="G15" s="31" t="n">
        <f aca="false">(0+2)/50</f>
        <v>0.04</v>
      </c>
      <c r="H15" s="36" t="n">
        <v>0</v>
      </c>
      <c r="I15" s="36" t="n">
        <v>0</v>
      </c>
      <c r="J15" s="36" t="n">
        <v>0</v>
      </c>
      <c r="K15" s="31" t="n">
        <f aca="false">(0+(6+6+0+0+0+0))/117</f>
        <v>0.102564102564103</v>
      </c>
      <c r="L15" s="38" t="n">
        <f aca="false">SUM(D15:K15,-MIN(D15:K15))</f>
        <v>0.256200466200466</v>
      </c>
      <c r="M15" s="19"/>
    </row>
    <row r="16" customFormat="false" ht="15.75" hidden="false" customHeight="false" outlineLevel="0" collapsed="false">
      <c r="A16" s="28" t="s">
        <v>145</v>
      </c>
      <c r="B16" s="29" t="s">
        <v>146</v>
      </c>
      <c r="C16" s="29" t="n">
        <v>11</v>
      </c>
      <c r="D16" s="36" t="n">
        <v>0</v>
      </c>
      <c r="E16" s="36" t="n">
        <v>0</v>
      </c>
      <c r="F16" s="36" t="n">
        <v>0</v>
      </c>
      <c r="G16" s="31" t="n">
        <f aca="false">(0+2)/50</f>
        <v>0.04</v>
      </c>
      <c r="H16" s="36" t="n">
        <v>0</v>
      </c>
      <c r="I16" s="36" t="n">
        <v>0</v>
      </c>
      <c r="J16" s="36" t="n">
        <v>0</v>
      </c>
      <c r="K16" s="36" t="n">
        <v>0</v>
      </c>
      <c r="L16" s="33" t="n">
        <f aca="false">SUM(D16:K16,-MIN(D16:K16))</f>
        <v>0.04</v>
      </c>
      <c r="M16" s="3"/>
    </row>
    <row r="17" customFormat="false" ht="15.75" hidden="false" customHeight="false" outlineLevel="0" collapsed="false">
      <c r="A17" s="42"/>
      <c r="D17" s="43"/>
      <c r="E17" s="44"/>
      <c r="F17" s="44"/>
      <c r="G17" s="45"/>
      <c r="H17" s="45"/>
      <c r="I17" s="45"/>
      <c r="J17" s="45"/>
      <c r="K17" s="45"/>
      <c r="L17" s="46"/>
    </row>
    <row r="18" customFormat="false" ht="15.75" hidden="false" customHeight="false" outlineLevel="0" collapsed="false">
      <c r="A18" s="42"/>
      <c r="D18" s="43"/>
      <c r="E18" s="44"/>
      <c r="F18" s="44"/>
      <c r="G18" s="45"/>
      <c r="H18" s="45"/>
      <c r="I18" s="45"/>
      <c r="J18" s="45"/>
      <c r="K18" s="45"/>
      <c r="L18" s="46"/>
    </row>
    <row r="19" customFormat="false" ht="15.75" hidden="false" customHeight="false" outlineLevel="0" collapsed="false">
      <c r="A19" s="21"/>
    </row>
    <row r="20" customFormat="false" ht="15.75" hidden="false" customHeight="false" outlineLevel="0" collapsed="false">
      <c r="A20" s="21"/>
    </row>
    <row r="21" customFormat="false" ht="15.75" hidden="false" customHeight="false" outlineLevel="0" collapsed="false">
      <c r="A21" s="21"/>
    </row>
    <row r="22" customFormat="false" ht="15.75" hidden="false" customHeight="false" outlineLevel="0" collapsed="false">
      <c r="A22" s="21"/>
    </row>
    <row r="23" customFormat="false" ht="15.75" hidden="false" customHeight="false" outlineLevel="0" collapsed="false">
      <c r="A23" s="21"/>
    </row>
    <row r="24" customFormat="false" ht="15.75" hidden="false" customHeight="false" outlineLevel="0" collapsed="false">
      <c r="A24" s="21"/>
    </row>
    <row r="25" customFormat="false" ht="15.75" hidden="false" customHeight="false" outlineLevel="0" collapsed="false">
      <c r="A25" s="21"/>
    </row>
    <row r="112" customFormat="false" ht="15.75" hidden="false" customHeight="false" outlineLevel="0" collapsed="false">
      <c r="A112" s="39" t="s">
        <v>147</v>
      </c>
      <c r="B112" s="29" t="s">
        <v>141</v>
      </c>
      <c r="C112" s="29" t="n">
        <v>11</v>
      </c>
      <c r="D112" s="36" t="n">
        <v>0</v>
      </c>
      <c r="E112" s="36" t="n">
        <v>0</v>
      </c>
      <c r="F112" s="36" t="n">
        <v>0</v>
      </c>
      <c r="G112" s="31" t="n">
        <f aca="false">(30+2)/50</f>
        <v>0.64</v>
      </c>
      <c r="H112" s="31" t="n">
        <f aca="false">(8+8)/86</f>
        <v>0.186046511627907</v>
      </c>
      <c r="I112" s="31" t="n">
        <f aca="false">((2+0+0+0+0)+0)/26</f>
        <v>0.0769230769230769</v>
      </c>
      <c r="J112" s="36" t="n">
        <v>0</v>
      </c>
      <c r="K112" s="47" t="n">
        <v>0</v>
      </c>
      <c r="L112" s="33" t="n">
        <f aca="false">SUM(D112:K112,-MIN(D112:K112))</f>
        <v>0.902969588550984</v>
      </c>
      <c r="M112" s="19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9.15625" defaultRowHeight="15.75" zeroHeight="false" outlineLevelRow="0" outlineLevelCol="0"/>
  <cols>
    <col collapsed="false" customWidth="true" hidden="false" outlineLevel="0" max="1" min="1" style="10" width="37.86"/>
    <col collapsed="false" customWidth="true" hidden="false" outlineLevel="0" max="2" min="2" style="22" width="8.14"/>
    <col collapsed="false" customWidth="true" hidden="false" outlineLevel="0" max="3" min="3" style="22" width="6.15"/>
    <col collapsed="false" customWidth="true" hidden="false" outlineLevel="0" max="6" min="4" style="23" width="5.7"/>
    <col collapsed="false" customWidth="true" hidden="false" outlineLevel="0" max="11" min="7" style="11" width="5.7"/>
    <col collapsed="false" customWidth="true" hidden="false" outlineLevel="0" max="12" min="12" style="22" width="6.71"/>
    <col collapsed="false" customWidth="false" hidden="false" outlineLevel="0" max="13" min="13" style="24" width="9.14"/>
    <col collapsed="false" customWidth="false" hidden="false" outlineLevel="0" max="1024" min="14" style="10" width="9.14"/>
  </cols>
  <sheetData>
    <row r="1" s="15" customFormat="true" ht="18" hidden="false" customHeight="true" outlineLevel="0" collapsed="false">
      <c r="A1" s="12" t="s">
        <v>119</v>
      </c>
      <c r="B1" s="12" t="s">
        <v>2</v>
      </c>
      <c r="C1" s="12" t="s">
        <v>1</v>
      </c>
      <c r="D1" s="12" t="s">
        <v>148</v>
      </c>
      <c r="E1" s="12" t="s">
        <v>149</v>
      </c>
      <c r="F1" s="12" t="s">
        <v>150</v>
      </c>
      <c r="G1" s="37" t="s">
        <v>151</v>
      </c>
      <c r="H1" s="19" t="s">
        <v>99</v>
      </c>
      <c r="I1" s="37" t="s">
        <v>152</v>
      </c>
      <c r="J1" s="48" t="s">
        <v>153</v>
      </c>
      <c r="K1" s="48" t="s">
        <v>154</v>
      </c>
      <c r="L1" s="12" t="s">
        <v>3</v>
      </c>
      <c r="M1" s="12" t="s">
        <v>4</v>
      </c>
    </row>
    <row r="2" customFormat="false" ht="15.95" hidden="false" customHeight="true" outlineLevel="0" collapsed="false">
      <c r="A2" s="34" t="s">
        <v>129</v>
      </c>
      <c r="B2" s="29" t="s">
        <v>6</v>
      </c>
      <c r="C2" s="6" t="n">
        <v>11</v>
      </c>
      <c r="D2" s="49" t="n">
        <v>0.5</v>
      </c>
      <c r="E2" s="50" t="n">
        <v>1</v>
      </c>
      <c r="F2" s="49" t="n">
        <v>0.888888888888889</v>
      </c>
      <c r="G2" s="49" t="n">
        <v>0.714285714285714</v>
      </c>
      <c r="H2" s="50" t="n">
        <v>1</v>
      </c>
      <c r="I2" s="49" t="n">
        <v>0.734848484848485</v>
      </c>
      <c r="J2" s="49" t="n">
        <v>0.777777777777778</v>
      </c>
      <c r="K2" s="49" t="n">
        <v>0.430769230769231</v>
      </c>
      <c r="L2" s="33" t="n">
        <f aca="false">SUM(D2:K2,-MIN(D2:K2))</f>
        <v>5.61580086580087</v>
      </c>
      <c r="M2" s="19" t="s">
        <v>103</v>
      </c>
    </row>
    <row r="3" customFormat="false" ht="15.75" hidden="false" customHeight="true" outlineLevel="0" collapsed="false">
      <c r="A3" s="34" t="s">
        <v>131</v>
      </c>
      <c r="B3" s="29" t="n">
        <v>100</v>
      </c>
      <c r="C3" s="6" t="n">
        <v>11</v>
      </c>
      <c r="D3" s="49" t="n">
        <v>0.65</v>
      </c>
      <c r="E3" s="49" t="n">
        <v>0.854545454545455</v>
      </c>
      <c r="F3" s="50" t="n">
        <v>1</v>
      </c>
      <c r="G3" s="49" t="n">
        <v>0.446428571428571</v>
      </c>
      <c r="H3" s="49" t="n">
        <v>0.541666666666667</v>
      </c>
      <c r="I3" s="49" t="n">
        <v>0.946969696969697</v>
      </c>
      <c r="J3" s="49" t="n">
        <v>0.222222222222222</v>
      </c>
      <c r="K3" s="49" t="n">
        <v>0.938461538461538</v>
      </c>
      <c r="L3" s="38" t="n">
        <f aca="false">SUM(D3:K3,-MIN(D3:K3))</f>
        <v>5.37807192807193</v>
      </c>
      <c r="M3" s="19" t="s">
        <v>103</v>
      </c>
    </row>
    <row r="4" customFormat="false" ht="15.95" hidden="false" customHeight="true" outlineLevel="0" collapsed="false">
      <c r="A4" s="28" t="s">
        <v>132</v>
      </c>
      <c r="B4" s="29" t="n">
        <v>145</v>
      </c>
      <c r="C4" s="29" t="n">
        <v>10</v>
      </c>
      <c r="D4" s="49" t="n">
        <v>0.375</v>
      </c>
      <c r="E4" s="50" t="n">
        <v>1</v>
      </c>
      <c r="F4" s="49" t="n">
        <v>0.777777777777778</v>
      </c>
      <c r="G4" s="49" t="n">
        <v>0.857142857142857</v>
      </c>
      <c r="H4" s="49" t="n">
        <v>0.458333333333333</v>
      </c>
      <c r="I4" s="49" t="n">
        <v>0.356060606060606</v>
      </c>
      <c r="J4" s="49" t="n">
        <v>0.583333333333333</v>
      </c>
      <c r="K4" s="49" t="n">
        <v>0.5</v>
      </c>
      <c r="L4" s="33" t="n">
        <f aca="false">SUM(D4:K4,-MIN(D4:K4))</f>
        <v>4.5515873015873</v>
      </c>
      <c r="M4" s="19" t="s">
        <v>103</v>
      </c>
    </row>
    <row r="5" customFormat="false" ht="15.95" hidden="false" customHeight="true" outlineLevel="0" collapsed="false">
      <c r="A5" s="28" t="s">
        <v>155</v>
      </c>
      <c r="B5" s="29" t="n">
        <v>145</v>
      </c>
      <c r="C5" s="29" t="n">
        <v>11</v>
      </c>
      <c r="D5" s="49" t="n">
        <v>0.075</v>
      </c>
      <c r="E5" s="51" t="n">
        <v>0</v>
      </c>
      <c r="F5" s="49" t="n">
        <v>0.555555555555556</v>
      </c>
      <c r="G5" s="49" t="n">
        <v>0.232142857142857</v>
      </c>
      <c r="H5" s="49" t="n">
        <v>0.833333333333333</v>
      </c>
      <c r="I5" s="49" t="n">
        <v>0.863636363636364</v>
      </c>
      <c r="J5" s="49" t="n">
        <v>0.540540540540541</v>
      </c>
      <c r="K5" s="49" t="n">
        <v>0.938461538461538</v>
      </c>
      <c r="L5" s="33" t="n">
        <f aca="false">SUM(D5:K5,-MIN(D5:K5))</f>
        <v>4.03867018867019</v>
      </c>
      <c r="M5" s="19" t="s">
        <v>103</v>
      </c>
    </row>
    <row r="6" customFormat="false" ht="15.95" hidden="false" customHeight="true" outlineLevel="0" collapsed="false">
      <c r="A6" s="28" t="s">
        <v>135</v>
      </c>
      <c r="B6" s="29" t="n">
        <v>171</v>
      </c>
      <c r="C6" s="29" t="n">
        <v>11</v>
      </c>
      <c r="D6" s="49" t="n">
        <v>0.425</v>
      </c>
      <c r="E6" s="49" t="n">
        <v>0.236363636363636</v>
      </c>
      <c r="F6" s="49" t="n">
        <v>0.777777777777778</v>
      </c>
      <c r="G6" s="49" t="n">
        <v>0.660714285714286</v>
      </c>
      <c r="H6" s="49" t="n">
        <v>0.583333333333333</v>
      </c>
      <c r="I6" s="49" t="n">
        <v>0.166666666666667</v>
      </c>
      <c r="J6" s="49" t="n">
        <v>0.527777777777778</v>
      </c>
      <c r="K6" s="49" t="n">
        <v>0.430769230769231</v>
      </c>
      <c r="L6" s="33" t="n">
        <f aca="false">SUM(D6:K6,-MIN(D6:K6))</f>
        <v>3.64173604173604</v>
      </c>
      <c r="M6" s="19" t="s">
        <v>103</v>
      </c>
    </row>
    <row r="7" customFormat="false" ht="15.95" hidden="false" customHeight="true" outlineLevel="0" collapsed="false">
      <c r="A7" s="28" t="s">
        <v>156</v>
      </c>
      <c r="B7" s="29" t="n">
        <v>145</v>
      </c>
      <c r="C7" s="29" t="n">
        <v>11</v>
      </c>
      <c r="D7" s="49" t="n">
        <v>0.35</v>
      </c>
      <c r="E7" s="49" t="n">
        <v>0.927272727272727</v>
      </c>
      <c r="F7" s="49" t="n">
        <v>0.777777777777778</v>
      </c>
      <c r="G7" s="49" t="n">
        <v>0.321428571428571</v>
      </c>
      <c r="H7" s="49" t="n">
        <v>0.291666666666667</v>
      </c>
      <c r="I7" s="49" t="n">
        <v>0.416666666666667</v>
      </c>
      <c r="J7" s="49" t="n">
        <v>0.305555555555556</v>
      </c>
      <c r="K7" s="49" t="n">
        <v>0.430769230769231</v>
      </c>
      <c r="L7" s="33" t="n">
        <f aca="false">SUM(D7:K7,-MIN(D7:K7))</f>
        <v>3.52947052947053</v>
      </c>
      <c r="M7" s="19" t="s">
        <v>103</v>
      </c>
    </row>
    <row r="8" customFormat="false" ht="15.95" hidden="false" customHeight="true" outlineLevel="0" collapsed="false">
      <c r="A8" s="39" t="s">
        <v>157</v>
      </c>
      <c r="B8" s="29" t="s">
        <v>6</v>
      </c>
      <c r="C8" s="29" t="n">
        <v>9</v>
      </c>
      <c r="D8" s="49" t="n">
        <v>0.375</v>
      </c>
      <c r="E8" s="50" t="n">
        <v>1</v>
      </c>
      <c r="F8" s="49" t="n">
        <v>0.333333333333333</v>
      </c>
      <c r="G8" s="49" t="n">
        <v>0.125</v>
      </c>
      <c r="H8" s="49" t="n">
        <v>0.5</v>
      </c>
      <c r="I8" s="49" t="n">
        <v>0.0606060606060606</v>
      </c>
      <c r="J8" s="49" t="n">
        <v>0.0555555555555556</v>
      </c>
      <c r="K8" s="49" t="n">
        <v>0.938461538461538</v>
      </c>
      <c r="L8" s="33" t="n">
        <f aca="false">SUM(D8:K8,-MIN(D8:K8))</f>
        <v>3.33240093240093</v>
      </c>
      <c r="M8" s="19" t="s">
        <v>103</v>
      </c>
    </row>
    <row r="9" customFormat="false" ht="15.95" hidden="false" customHeight="true" outlineLevel="0" collapsed="false">
      <c r="A9" s="34" t="s">
        <v>133</v>
      </c>
      <c r="B9" s="29" t="s">
        <v>6</v>
      </c>
      <c r="C9" s="6" t="n">
        <v>11</v>
      </c>
      <c r="D9" s="49" t="n">
        <v>0.325</v>
      </c>
      <c r="E9" s="52" t="n">
        <v>0</v>
      </c>
      <c r="F9" s="49" t="n">
        <v>0.333333333333333</v>
      </c>
      <c r="G9" s="49" t="n">
        <v>0.482142857142857</v>
      </c>
      <c r="H9" s="49" t="n">
        <v>0.625</v>
      </c>
      <c r="I9" s="49" t="n">
        <v>0.409090909090909</v>
      </c>
      <c r="J9" s="49" t="n">
        <v>0.861111111111111</v>
      </c>
      <c r="K9" s="49" t="n">
        <v>0.153846153846154</v>
      </c>
      <c r="L9" s="38" t="n">
        <f aca="false">SUM(D9:K9,-MIN(D9:K9))</f>
        <v>3.18952436452436</v>
      </c>
      <c r="M9" s="19" t="s">
        <v>103</v>
      </c>
    </row>
    <row r="10" customFormat="false" ht="15.95" hidden="false" customHeight="true" outlineLevel="0" collapsed="false">
      <c r="A10" s="28" t="s">
        <v>130</v>
      </c>
      <c r="B10" s="29" t="n">
        <v>171</v>
      </c>
      <c r="C10" s="29" t="n">
        <v>11</v>
      </c>
      <c r="D10" s="53" t="n">
        <v>0</v>
      </c>
      <c r="E10" s="53" t="n">
        <v>0</v>
      </c>
      <c r="F10" s="50" t="n">
        <v>1</v>
      </c>
      <c r="G10" s="49" t="n">
        <v>0.25</v>
      </c>
      <c r="H10" s="49" t="n">
        <v>0.333333333333333</v>
      </c>
      <c r="I10" s="49" t="n">
        <v>0.287878787878788</v>
      </c>
      <c r="J10" s="49" t="n">
        <v>0.555555555555556</v>
      </c>
      <c r="K10" s="49" t="n">
        <v>0.430769230769231</v>
      </c>
      <c r="L10" s="33" t="n">
        <f aca="false">SUM(D10:K10,-MIN(D10:K10))</f>
        <v>2.85753690753691</v>
      </c>
      <c r="M10" s="19" t="s">
        <v>103</v>
      </c>
    </row>
    <row r="11" customFormat="false" ht="15.95" hidden="false" customHeight="true" outlineLevel="0" collapsed="false">
      <c r="A11" s="39" t="s">
        <v>158</v>
      </c>
      <c r="B11" s="29" t="s">
        <v>6</v>
      </c>
      <c r="C11" s="29" t="n">
        <v>9</v>
      </c>
      <c r="D11" s="49" t="n">
        <v>0.3</v>
      </c>
      <c r="E11" s="49" t="n">
        <v>0.6</v>
      </c>
      <c r="F11" s="49" t="n">
        <v>0.333333333333333</v>
      </c>
      <c r="G11" s="49" t="n">
        <v>0.125</v>
      </c>
      <c r="H11" s="49" t="n">
        <v>0.666666666666667</v>
      </c>
      <c r="I11" s="49" t="n">
        <v>0.136363636363636</v>
      </c>
      <c r="J11" s="49" t="n">
        <v>0.0555555555555556</v>
      </c>
      <c r="K11" s="49" t="n">
        <v>0.430769230769231</v>
      </c>
      <c r="L11" s="33" t="n">
        <f aca="false">SUM(D11:K11,-MIN(D11:K11))</f>
        <v>2.59213286713287</v>
      </c>
      <c r="M11" s="12" t="s">
        <v>159</v>
      </c>
    </row>
    <row r="12" customFormat="false" ht="15.95" hidden="false" customHeight="true" outlineLevel="0" collapsed="false">
      <c r="A12" s="40" t="s">
        <v>160</v>
      </c>
      <c r="B12" s="29" t="s">
        <v>6</v>
      </c>
      <c r="C12" s="41" t="n">
        <v>9</v>
      </c>
      <c r="D12" s="51" t="n">
        <v>0</v>
      </c>
      <c r="E12" s="49" t="n">
        <v>0.4</v>
      </c>
      <c r="F12" s="49" t="n">
        <v>0.666666666666667</v>
      </c>
      <c r="G12" s="49" t="n">
        <v>0.0178571428571429</v>
      </c>
      <c r="H12" s="49" t="n">
        <v>0.458333333333333</v>
      </c>
      <c r="I12" s="49" t="n">
        <v>0.303030303030303</v>
      </c>
      <c r="J12" s="49" t="n">
        <v>0.0555555555555556</v>
      </c>
      <c r="K12" s="49" t="n">
        <v>0.4</v>
      </c>
      <c r="L12" s="33" t="n">
        <f aca="false">SUM(D12:K12,-MIN(D12:K12))</f>
        <v>2.301443001443</v>
      </c>
      <c r="M12" s="16"/>
    </row>
    <row r="13" customFormat="false" ht="15.95" hidden="false" customHeight="true" outlineLevel="0" collapsed="false">
      <c r="A13" s="28" t="s">
        <v>161</v>
      </c>
      <c r="B13" s="29" t="n">
        <v>263</v>
      </c>
      <c r="C13" s="29" t="n">
        <v>8</v>
      </c>
      <c r="D13" s="49" t="n">
        <v>0.2</v>
      </c>
      <c r="E13" s="52" t="n">
        <v>0</v>
      </c>
      <c r="F13" s="52" t="n">
        <v>0</v>
      </c>
      <c r="G13" s="49" t="n">
        <v>0.107142857142857</v>
      </c>
      <c r="H13" s="49" t="n">
        <v>0.375</v>
      </c>
      <c r="I13" s="49" t="n">
        <v>0.242424242424242</v>
      </c>
      <c r="J13" s="49" t="n">
        <v>0.277777777777778</v>
      </c>
      <c r="K13" s="49" t="n">
        <v>0.430769230769231</v>
      </c>
      <c r="L13" s="33" t="n">
        <f aca="false">SUM(D13:K13,-MIN(D13:K13))</f>
        <v>1.63311410811411</v>
      </c>
      <c r="M13" s="3"/>
    </row>
    <row r="14" customFormat="false" ht="15.95" hidden="false" customHeight="true" outlineLevel="0" collapsed="false">
      <c r="A14" s="28" t="s">
        <v>162</v>
      </c>
      <c r="B14" s="29" t="n">
        <v>157</v>
      </c>
      <c r="C14" s="29" t="n">
        <v>10</v>
      </c>
      <c r="D14" s="49" t="n">
        <v>0.125</v>
      </c>
      <c r="E14" s="53" t="n">
        <v>0</v>
      </c>
      <c r="F14" s="49" t="n">
        <v>0.888888888888889</v>
      </c>
      <c r="G14" s="53" t="n">
        <v>0</v>
      </c>
      <c r="H14" s="52" t="n">
        <v>0</v>
      </c>
      <c r="I14" s="53" t="n">
        <v>0</v>
      </c>
      <c r="J14" s="53" t="n">
        <v>0</v>
      </c>
      <c r="K14" s="53" t="n">
        <v>0</v>
      </c>
      <c r="L14" s="33" t="n">
        <f aca="false">SUM(D14:K14,-MIN(D14:K14))</f>
        <v>1.01388888888889</v>
      </c>
      <c r="M14" s="3"/>
    </row>
    <row r="15" customFormat="false" ht="15.95" hidden="false" customHeight="true" outlineLevel="0" collapsed="false">
      <c r="A15" s="34" t="s">
        <v>144</v>
      </c>
      <c r="B15" s="29" t="n">
        <v>241</v>
      </c>
      <c r="C15" s="6" t="n">
        <v>11</v>
      </c>
      <c r="D15" s="49" t="n">
        <v>0.25</v>
      </c>
      <c r="E15" s="49" t="n">
        <v>0.0181818181818182</v>
      </c>
      <c r="F15" s="49" t="n">
        <v>0.222222222222222</v>
      </c>
      <c r="G15" s="49" t="n">
        <v>0.125</v>
      </c>
      <c r="H15" s="49" t="n">
        <v>0.0416666666666667</v>
      </c>
      <c r="I15" s="49" t="n">
        <v>0.121212121212121</v>
      </c>
      <c r="J15" s="49" t="n">
        <v>0.0555555555555556</v>
      </c>
      <c r="K15" s="52" t="n">
        <v>0</v>
      </c>
      <c r="L15" s="38" t="n">
        <f aca="false">SUM(D15:K15,-MIN(D15:K15))</f>
        <v>0.833838383838384</v>
      </c>
      <c r="M15" s="19"/>
    </row>
    <row r="16" customFormat="false" ht="15.95" hidden="false" customHeight="true" outlineLevel="0" collapsed="false">
      <c r="A16" s="34" t="s">
        <v>163</v>
      </c>
      <c r="B16" s="29" t="n">
        <v>171</v>
      </c>
      <c r="C16" s="6" t="n">
        <v>10</v>
      </c>
      <c r="D16" s="53" t="n">
        <v>0</v>
      </c>
      <c r="E16" s="53" t="n">
        <v>0</v>
      </c>
      <c r="F16" s="52" t="n">
        <v>0</v>
      </c>
      <c r="G16" s="49" t="n">
        <v>0.142857142857143</v>
      </c>
      <c r="H16" s="51" t="n">
        <v>0</v>
      </c>
      <c r="I16" s="49" t="n">
        <v>0.0151515151515152</v>
      </c>
      <c r="J16" s="53" t="n">
        <v>0</v>
      </c>
      <c r="K16" s="53" t="n">
        <v>0</v>
      </c>
      <c r="L16" s="33" t="n">
        <f aca="false">SUM(D16:K16,-MIN(D16:K16))</f>
        <v>0.158008658008658</v>
      </c>
      <c r="M16" s="37"/>
    </row>
    <row r="17" customFormat="false" ht="15.95" hidden="false" customHeight="true" outlineLevel="0" collapsed="false">
      <c r="A17" s="28" t="s">
        <v>164</v>
      </c>
      <c r="B17" s="29" t="n">
        <v>145</v>
      </c>
      <c r="C17" s="29" t="n">
        <v>10</v>
      </c>
      <c r="D17" s="52" t="n">
        <v>0</v>
      </c>
      <c r="E17" s="52" t="n">
        <v>0</v>
      </c>
      <c r="F17" s="52" t="n">
        <v>0</v>
      </c>
      <c r="G17" s="53" t="n">
        <v>0</v>
      </c>
      <c r="H17" s="53" t="n">
        <v>0</v>
      </c>
      <c r="I17" s="53" t="n">
        <v>0</v>
      </c>
      <c r="J17" s="53" t="n">
        <v>0</v>
      </c>
      <c r="K17" s="53" t="n">
        <v>0</v>
      </c>
      <c r="L17" s="33" t="n">
        <f aca="false">SUM(D17:K17,-MIN(D17:K17))</f>
        <v>0</v>
      </c>
      <c r="M17" s="19"/>
    </row>
    <row r="18" customFormat="false" ht="15.75" hidden="false" customHeight="false" outlineLevel="0" collapsed="false">
      <c r="A18" s="42"/>
      <c r="D18" s="43"/>
      <c r="E18" s="44"/>
      <c r="F18" s="44"/>
      <c r="G18" s="45"/>
      <c r="H18" s="45"/>
      <c r="I18" s="45"/>
      <c r="J18" s="45"/>
      <c r="K18" s="45"/>
      <c r="L18" s="46"/>
    </row>
    <row r="19" customFormat="false" ht="15.75" hidden="false" customHeight="false" outlineLevel="0" collapsed="false">
      <c r="A19" s="21"/>
    </row>
    <row r="20" customFormat="false" ht="15.75" hidden="false" customHeight="false" outlineLevel="0" collapsed="false">
      <c r="A20" s="21"/>
    </row>
    <row r="21" customFormat="false" ht="15.75" hidden="false" customHeight="false" outlineLevel="0" collapsed="false">
      <c r="A21" s="21"/>
    </row>
    <row r="22" customFormat="false" ht="15.75" hidden="false" customHeight="false" outlineLevel="0" collapsed="false">
      <c r="A22" s="21"/>
    </row>
    <row r="23" customFormat="false" ht="15.75" hidden="false" customHeight="false" outlineLevel="0" collapsed="false">
      <c r="A23" s="21"/>
    </row>
    <row r="24" customFormat="false" ht="15.75" hidden="false" customHeight="false" outlineLevel="0" collapsed="false">
      <c r="A24" s="21"/>
    </row>
    <row r="25" customFormat="false" ht="15.75" hidden="false" customHeight="false" outlineLevel="0" collapsed="false">
      <c r="A25" s="21"/>
    </row>
    <row r="112" customFormat="false" ht="15.75" hidden="false" customHeight="false" outlineLevel="0" collapsed="false">
      <c r="A112" s="39" t="s">
        <v>147</v>
      </c>
      <c r="B112" s="29" t="s">
        <v>141</v>
      </c>
      <c r="C112" s="29" t="n">
        <v>11</v>
      </c>
      <c r="D112" s="36" t="n">
        <v>0</v>
      </c>
      <c r="E112" s="36" t="n">
        <v>0</v>
      </c>
      <c r="F112" s="36" t="n">
        <v>0</v>
      </c>
      <c r="G112" s="31" t="n">
        <f aca="false">(30+2)/50</f>
        <v>0.64</v>
      </c>
      <c r="H112" s="31" t="n">
        <f aca="false">(8+8)/86</f>
        <v>0.186046511627907</v>
      </c>
      <c r="I112" s="31" t="n">
        <f aca="false">((2+0+0+0+0)+0)/26</f>
        <v>0.0769230769230769</v>
      </c>
      <c r="J112" s="36" t="n">
        <v>0</v>
      </c>
      <c r="K112" s="47" t="n">
        <v>0</v>
      </c>
      <c r="L112" s="33" t="n">
        <f aca="false">SUM(D112:K112,-MIN(D112:K112))</f>
        <v>0.902969588550984</v>
      </c>
      <c r="M112" s="19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0" activeCellId="0" sqref="M20"/>
    </sheetView>
  </sheetViews>
  <sheetFormatPr defaultColWidth="9.15625" defaultRowHeight="15.75" zeroHeight="false" outlineLevelRow="0" outlineLevelCol="0"/>
  <cols>
    <col collapsed="false" customWidth="true" hidden="false" outlineLevel="0" max="1" min="1" style="10" width="36"/>
    <col collapsed="false" customWidth="true" hidden="false" outlineLevel="0" max="2" min="2" style="22" width="8.14"/>
    <col collapsed="false" customWidth="true" hidden="false" outlineLevel="0" max="3" min="3" style="54" width="6.15"/>
    <col collapsed="false" customWidth="true" hidden="false" outlineLevel="0" max="6" min="4" style="23" width="6.71"/>
    <col collapsed="false" customWidth="true" hidden="false" outlineLevel="0" max="11" min="7" style="11" width="6.71"/>
    <col collapsed="false" customWidth="true" hidden="false" outlineLevel="0" max="12" min="12" style="22" width="6.71"/>
    <col collapsed="false" customWidth="false" hidden="false" outlineLevel="0" max="13" min="13" style="15" width="9.14"/>
    <col collapsed="false" customWidth="false" hidden="false" outlineLevel="0" max="1024" min="14" style="10" width="9.14"/>
  </cols>
  <sheetData>
    <row r="1" s="15" customFormat="true" ht="18" hidden="false" customHeight="true" outlineLevel="0" collapsed="false">
      <c r="A1" s="12" t="s">
        <v>119</v>
      </c>
      <c r="B1" s="12" t="s">
        <v>2</v>
      </c>
      <c r="C1" s="55" t="s">
        <v>1</v>
      </c>
      <c r="D1" s="14" t="s">
        <v>165</v>
      </c>
      <c r="E1" s="14" t="s">
        <v>166</v>
      </c>
      <c r="F1" s="25" t="s">
        <v>167</v>
      </c>
      <c r="G1" s="14" t="s">
        <v>168</v>
      </c>
      <c r="H1" s="56" t="s">
        <v>99</v>
      </c>
      <c r="I1" s="56" t="s">
        <v>169</v>
      </c>
      <c r="J1" s="56" t="s">
        <v>170</v>
      </c>
      <c r="K1" s="57" t="s">
        <v>171</v>
      </c>
      <c r="L1" s="12" t="s">
        <v>3</v>
      </c>
      <c r="M1" s="12" t="s">
        <v>4</v>
      </c>
    </row>
    <row r="2" customFormat="false" ht="15.75" hidden="false" customHeight="false" outlineLevel="0" collapsed="false">
      <c r="A2" s="34" t="s">
        <v>158</v>
      </c>
      <c r="B2" s="58" t="s">
        <v>6</v>
      </c>
      <c r="C2" s="58" t="n">
        <v>10</v>
      </c>
      <c r="D2" s="38" t="n">
        <v>0.6</v>
      </c>
      <c r="E2" s="38" t="n">
        <v>0.777777777777778</v>
      </c>
      <c r="F2" s="38" t="n">
        <v>0.56</v>
      </c>
      <c r="G2" s="59" t="n">
        <v>0.4</v>
      </c>
      <c r="H2" s="59" t="n">
        <v>0.5</v>
      </c>
      <c r="I2" s="59" t="n">
        <v>0.302325581395349</v>
      </c>
      <c r="J2" s="59" t="n">
        <v>0.15</v>
      </c>
      <c r="K2" s="38" t="n">
        <v>0.12</v>
      </c>
      <c r="L2" s="33" t="n">
        <f aca="false">SUM(D2:K2,-MIN(D2:K2))</f>
        <v>3.29010335917313</v>
      </c>
      <c r="M2" s="13" t="s">
        <v>103</v>
      </c>
    </row>
    <row r="3" customFormat="false" ht="15.75" hidden="false" customHeight="false" outlineLevel="0" collapsed="false">
      <c r="A3" s="34" t="s">
        <v>172</v>
      </c>
      <c r="B3" s="34" t="s">
        <v>6</v>
      </c>
      <c r="C3" s="34" t="n">
        <v>10</v>
      </c>
      <c r="D3" s="38" t="n">
        <v>0.6</v>
      </c>
      <c r="E3" s="38" t="n">
        <v>0.622222222222222</v>
      </c>
      <c r="F3" s="38" t="n">
        <v>0.08</v>
      </c>
      <c r="G3" s="59" t="n">
        <v>0.38</v>
      </c>
      <c r="H3" s="59" t="n">
        <v>0.5</v>
      </c>
      <c r="I3" s="59" t="n">
        <v>0.395348837209302</v>
      </c>
      <c r="J3" s="60" t="n">
        <v>0</v>
      </c>
      <c r="K3" s="38" t="n">
        <v>0.12</v>
      </c>
      <c r="L3" s="33" t="n">
        <f aca="false">SUM(D3:K3,-MIN(D3:K3))</f>
        <v>2.69757105943152</v>
      </c>
      <c r="M3" s="13" t="s">
        <v>103</v>
      </c>
    </row>
    <row r="4" customFormat="false" ht="15.75" hidden="false" customHeight="false" outlineLevel="0" collapsed="false">
      <c r="A4" s="28" t="s">
        <v>138</v>
      </c>
      <c r="B4" s="58" t="n">
        <v>171</v>
      </c>
      <c r="C4" s="58" t="n">
        <v>11</v>
      </c>
      <c r="D4" s="38" t="n">
        <v>0.472727272727273</v>
      </c>
      <c r="E4" s="38" t="n">
        <v>0.0222222222222222</v>
      </c>
      <c r="F4" s="38" t="n">
        <v>0.36</v>
      </c>
      <c r="G4" s="59" t="n">
        <v>0.5</v>
      </c>
      <c r="H4" s="59" t="n">
        <v>0.25</v>
      </c>
      <c r="I4" s="59" t="n">
        <v>0.558139534883721</v>
      </c>
      <c r="J4" s="59" t="n">
        <v>0.250025</v>
      </c>
      <c r="K4" s="38" t="n">
        <v>0.12</v>
      </c>
      <c r="L4" s="33" t="n">
        <f aca="false">SUM(D4:K4,-MIN(D4:K4))</f>
        <v>2.51089180761099</v>
      </c>
      <c r="M4" s="13" t="s">
        <v>103</v>
      </c>
    </row>
    <row r="5" customFormat="false" ht="15.75" hidden="false" customHeight="false" outlineLevel="0" collapsed="false">
      <c r="A5" s="34" t="s">
        <v>173</v>
      </c>
      <c r="B5" s="58" t="s">
        <v>6</v>
      </c>
      <c r="C5" s="58" t="n">
        <v>11</v>
      </c>
      <c r="D5" s="38" t="n">
        <v>0.2</v>
      </c>
      <c r="E5" s="61" t="n">
        <v>0</v>
      </c>
      <c r="F5" s="38" t="n">
        <v>0.68</v>
      </c>
      <c r="G5" s="59" t="n">
        <v>0.42</v>
      </c>
      <c r="H5" s="59" t="n">
        <v>0.25</v>
      </c>
      <c r="I5" s="59" t="n">
        <v>0.511627906976744</v>
      </c>
      <c r="J5" s="59" t="n">
        <v>0.23845</v>
      </c>
      <c r="K5" s="38" t="n">
        <v>0.06</v>
      </c>
      <c r="L5" s="33" t="n">
        <f aca="false">SUM(D5:K5,-MIN(D5:K5))</f>
        <v>2.36007790697674</v>
      </c>
      <c r="M5" s="13" t="s">
        <v>103</v>
      </c>
    </row>
    <row r="6" customFormat="false" ht="15.75" hidden="false" customHeight="false" outlineLevel="0" collapsed="false">
      <c r="A6" s="28" t="s">
        <v>174</v>
      </c>
      <c r="B6" s="58" t="n">
        <v>171</v>
      </c>
      <c r="C6" s="58" t="n">
        <v>11</v>
      </c>
      <c r="D6" s="61" t="n">
        <v>0</v>
      </c>
      <c r="E6" s="38" t="n">
        <v>0.288888888888889</v>
      </c>
      <c r="F6" s="38" t="n">
        <v>0.32</v>
      </c>
      <c r="G6" s="59" t="n">
        <v>0.26</v>
      </c>
      <c r="H6" s="59" t="n">
        <v>0.208333333333333</v>
      </c>
      <c r="I6" s="59" t="n">
        <v>0.325581395348837</v>
      </c>
      <c r="J6" s="59" t="n">
        <v>0.619225</v>
      </c>
      <c r="K6" s="38" t="n">
        <v>0.18</v>
      </c>
      <c r="L6" s="33" t="n">
        <f aca="false">SUM(D6:K6,-MIN(D6:K6))</f>
        <v>2.20202861757106</v>
      </c>
      <c r="M6" s="13" t="s">
        <v>103</v>
      </c>
    </row>
    <row r="7" customFormat="false" ht="15.75" hidden="false" customHeight="false" outlineLevel="0" collapsed="false">
      <c r="A7" s="34" t="s">
        <v>175</v>
      </c>
      <c r="B7" s="34" t="s">
        <v>146</v>
      </c>
      <c r="C7" s="34" t="n">
        <v>11</v>
      </c>
      <c r="D7" s="38" t="n">
        <v>0.327272727272727</v>
      </c>
      <c r="E7" s="38" t="n">
        <v>0.122222222222222</v>
      </c>
      <c r="F7" s="38" t="n">
        <v>0.4</v>
      </c>
      <c r="G7" s="59" t="n">
        <v>0.34</v>
      </c>
      <c r="H7" s="59" t="n">
        <v>0.416666666666667</v>
      </c>
      <c r="I7" s="59" t="n">
        <v>0.302325581395349</v>
      </c>
      <c r="J7" s="59" t="n">
        <v>0.075</v>
      </c>
      <c r="K7" s="38" t="n">
        <v>0.04</v>
      </c>
      <c r="L7" s="33" t="n">
        <f aca="false">SUM(D7:K7,-MIN(D7:K7))</f>
        <v>1.98348719755696</v>
      </c>
      <c r="M7" s="13" t="s">
        <v>103</v>
      </c>
    </row>
    <row r="8" customFormat="false" ht="15.75" hidden="false" customHeight="false" outlineLevel="0" collapsed="false">
      <c r="A8" s="34" t="s">
        <v>176</v>
      </c>
      <c r="B8" s="58" t="s">
        <v>6</v>
      </c>
      <c r="C8" s="58" t="n">
        <v>9</v>
      </c>
      <c r="D8" s="38" t="n">
        <v>0.6</v>
      </c>
      <c r="E8" s="38" t="n">
        <v>0.277777777777778</v>
      </c>
      <c r="F8" s="38" t="n">
        <v>0.04</v>
      </c>
      <c r="G8" s="59" t="n">
        <v>0.08</v>
      </c>
      <c r="H8" s="59" t="n">
        <v>0.25</v>
      </c>
      <c r="I8" s="59" t="n">
        <v>0.255813953488372</v>
      </c>
      <c r="J8" s="59" t="n">
        <v>0.136275</v>
      </c>
      <c r="K8" s="38" t="n">
        <v>0.04</v>
      </c>
      <c r="L8" s="33" t="n">
        <f aca="false">SUM(D8:K8,-MIN(D8:K8))</f>
        <v>1.63986673126615</v>
      </c>
      <c r="M8" s="13" t="s">
        <v>103</v>
      </c>
    </row>
    <row r="9" customFormat="false" ht="15.75" hidden="false" customHeight="false" outlineLevel="0" collapsed="false">
      <c r="A9" s="34" t="s">
        <v>177</v>
      </c>
      <c r="B9" s="34" t="n">
        <v>178</v>
      </c>
      <c r="C9" s="34" t="n">
        <v>9</v>
      </c>
      <c r="D9" s="61" t="n">
        <v>0</v>
      </c>
      <c r="E9" s="38" t="n">
        <v>0.166666666666667</v>
      </c>
      <c r="F9" s="61" t="n">
        <v>0</v>
      </c>
      <c r="G9" s="59" t="n">
        <v>0.26</v>
      </c>
      <c r="H9" s="59" t="n">
        <v>0.291666666666667</v>
      </c>
      <c r="I9" s="59" t="n">
        <v>0.325581395348837</v>
      </c>
      <c r="J9" s="59" t="n">
        <v>0.25</v>
      </c>
      <c r="K9" s="38" t="n">
        <v>0.04</v>
      </c>
      <c r="L9" s="33" t="n">
        <f aca="false">SUM(D9:K9,-MIN(D9:K9))</f>
        <v>1.33391472868217</v>
      </c>
      <c r="M9" s="13" t="s">
        <v>103</v>
      </c>
    </row>
    <row r="10" customFormat="false" ht="15.75" hidden="false" customHeight="false" outlineLevel="0" collapsed="false">
      <c r="A10" s="34" t="s">
        <v>178</v>
      </c>
      <c r="B10" s="58" t="n">
        <v>208</v>
      </c>
      <c r="C10" s="58" t="n">
        <v>10</v>
      </c>
      <c r="D10" s="33" t="n">
        <v>0.0909090909090909</v>
      </c>
      <c r="E10" s="33" t="n">
        <v>0.288888888888889</v>
      </c>
      <c r="F10" s="61" t="n">
        <v>0</v>
      </c>
      <c r="G10" s="62" t="n">
        <v>0.28</v>
      </c>
      <c r="H10" s="61" t="n">
        <v>0</v>
      </c>
      <c r="I10" s="62" t="n">
        <v>0.232558139534884</v>
      </c>
      <c r="J10" s="62" t="n">
        <v>0.29615</v>
      </c>
      <c r="K10" s="63" t="n">
        <v>0.08</v>
      </c>
      <c r="L10" s="33" t="n">
        <f aca="false">SUM(D10:K10,-MIN(D10:K10))</f>
        <v>1.26850611933286</v>
      </c>
      <c r="M10" s="13" t="s">
        <v>103</v>
      </c>
    </row>
    <row r="11" customFormat="false" ht="15.75" hidden="false" customHeight="false" outlineLevel="0" collapsed="false">
      <c r="A11" s="34" t="s">
        <v>179</v>
      </c>
      <c r="B11" s="34" t="n">
        <v>145</v>
      </c>
      <c r="C11" s="34" t="n">
        <v>9</v>
      </c>
      <c r="D11" s="61" t="n">
        <v>0</v>
      </c>
      <c r="E11" s="61" t="n">
        <v>0</v>
      </c>
      <c r="F11" s="38" t="n">
        <v>0.04</v>
      </c>
      <c r="G11" s="59" t="n">
        <v>0.24</v>
      </c>
      <c r="H11" s="59" t="n">
        <v>0.166666666666667</v>
      </c>
      <c r="I11" s="59" t="n">
        <v>0.279069767441861</v>
      </c>
      <c r="J11" s="59" t="n">
        <v>0.1</v>
      </c>
      <c r="K11" s="38" t="n">
        <v>0.04</v>
      </c>
      <c r="L11" s="33" t="n">
        <f aca="false">SUM(D11:K11,-MIN(D11:K11))</f>
        <v>0.865736434108527</v>
      </c>
      <c r="M11" s="29" t="s">
        <v>159</v>
      </c>
    </row>
    <row r="12" customFormat="false" ht="15.75" hidden="false" customHeight="false" outlineLevel="0" collapsed="false">
      <c r="A12" s="34" t="s">
        <v>180</v>
      </c>
      <c r="B12" s="58" t="s">
        <v>137</v>
      </c>
      <c r="C12" s="58" t="n">
        <v>10</v>
      </c>
      <c r="D12" s="61" t="n">
        <v>0</v>
      </c>
      <c r="E12" s="38" t="n">
        <v>0.177777777777778</v>
      </c>
      <c r="F12" s="61" t="n">
        <v>0</v>
      </c>
      <c r="G12" s="59" t="n">
        <v>0.4</v>
      </c>
      <c r="H12" s="61" t="n">
        <v>0</v>
      </c>
      <c r="I12" s="59" t="n">
        <v>0.0930232558139535</v>
      </c>
      <c r="J12" s="61" t="n">
        <v>0</v>
      </c>
      <c r="K12" s="38" t="n">
        <v>0.04</v>
      </c>
      <c r="L12" s="33" t="n">
        <f aca="false">SUM(D12:K12,-MIN(D12:K12))</f>
        <v>0.710801033591731</v>
      </c>
      <c r="M12" s="29" t="s">
        <v>159</v>
      </c>
    </row>
    <row r="13" customFormat="false" ht="15.75" hidden="false" customHeight="false" outlineLevel="0" collapsed="false">
      <c r="A13" s="34" t="s">
        <v>181</v>
      </c>
      <c r="B13" s="34" t="n">
        <v>100</v>
      </c>
      <c r="C13" s="34" t="n">
        <v>10</v>
      </c>
      <c r="D13" s="38" t="n">
        <v>0.145454545454545</v>
      </c>
      <c r="E13" s="60" t="n">
        <v>0</v>
      </c>
      <c r="F13" s="60" t="n">
        <v>0</v>
      </c>
      <c r="G13" s="59" t="n">
        <v>0.42</v>
      </c>
      <c r="H13" s="60" t="n">
        <v>0</v>
      </c>
      <c r="I13" s="59" t="n">
        <v>0.0930232558139535</v>
      </c>
      <c r="J13" s="61" t="n">
        <v>0</v>
      </c>
      <c r="K13" s="38" t="n">
        <v>0.04</v>
      </c>
      <c r="L13" s="33" t="n">
        <f aca="false">SUM(D13:K13,-MIN(D13:K13))</f>
        <v>0.698477801268499</v>
      </c>
      <c r="M13" s="29" t="s">
        <v>159</v>
      </c>
    </row>
    <row r="14" customFormat="false" ht="15.75" hidden="false" customHeight="false" outlineLevel="0" collapsed="false">
      <c r="A14" s="28" t="s">
        <v>182</v>
      </c>
      <c r="B14" s="58" t="n">
        <v>171</v>
      </c>
      <c r="C14" s="58" t="n">
        <v>10</v>
      </c>
      <c r="D14" s="61" t="n">
        <v>0</v>
      </c>
      <c r="E14" s="61" t="n">
        <v>0</v>
      </c>
      <c r="F14" s="61" t="n">
        <v>0</v>
      </c>
      <c r="G14" s="59" t="n">
        <v>0.16</v>
      </c>
      <c r="H14" s="61" t="n">
        <v>0</v>
      </c>
      <c r="I14" s="59" t="n">
        <v>0.0232558139534884</v>
      </c>
      <c r="J14" s="61" t="n">
        <v>0</v>
      </c>
      <c r="K14" s="38" t="n">
        <v>0.04</v>
      </c>
      <c r="L14" s="33" t="n">
        <f aca="false">SUM(D14:K14,-MIN(D14:K14))</f>
        <v>0.223255813953488</v>
      </c>
      <c r="M14" s="12"/>
    </row>
    <row r="15" customFormat="false" ht="15.75" hidden="false" customHeight="false" outlineLevel="0" collapsed="false">
      <c r="A15" s="28" t="s">
        <v>183</v>
      </c>
      <c r="B15" s="58" t="n">
        <v>171</v>
      </c>
      <c r="C15" s="58" t="n">
        <v>10</v>
      </c>
      <c r="D15" s="61" t="n">
        <v>0</v>
      </c>
      <c r="E15" s="61" t="n">
        <v>0</v>
      </c>
      <c r="F15" s="61" t="n">
        <v>0</v>
      </c>
      <c r="G15" s="61" t="n">
        <v>0</v>
      </c>
      <c r="H15" s="62" t="n">
        <v>0.0833333333333333</v>
      </c>
      <c r="I15" s="62" t="n">
        <v>0.0465116279069768</v>
      </c>
      <c r="J15" s="60" t="n">
        <v>0</v>
      </c>
      <c r="K15" s="60" t="n">
        <v>0</v>
      </c>
      <c r="L15" s="33" t="n">
        <f aca="false">SUM(D15:K15,-MIN(D15:K15))</f>
        <v>0.12984496124031</v>
      </c>
      <c r="M15" s="12"/>
    </row>
    <row r="16" customFormat="false" ht="15.75" hidden="false" customHeight="false" outlineLevel="0" collapsed="false">
      <c r="A16" s="64"/>
      <c r="B16" s="65"/>
      <c r="C16" s="66"/>
      <c r="D16" s="43"/>
      <c r="E16" s="44"/>
      <c r="F16" s="44"/>
      <c r="G16" s="45"/>
      <c r="H16" s="45"/>
      <c r="I16" s="45"/>
      <c r="J16" s="45"/>
      <c r="K16" s="45"/>
      <c r="L16" s="46"/>
    </row>
    <row r="17" customFormat="false" ht="15.75" hidden="false" customHeight="false" outlineLevel="0" collapsed="false">
      <c r="A17" s="64"/>
      <c r="B17" s="65"/>
      <c r="C17" s="66"/>
      <c r="D17" s="43"/>
      <c r="E17" s="44"/>
      <c r="F17" s="44"/>
      <c r="G17" s="45"/>
      <c r="H17" s="45"/>
      <c r="I17" s="45"/>
      <c r="J17" s="45"/>
      <c r="K17" s="45"/>
      <c r="L17" s="46"/>
    </row>
    <row r="18" customFormat="false" ht="15.75" hidden="false" customHeight="false" outlineLevel="0" collapsed="false">
      <c r="A18" s="21"/>
    </row>
    <row r="19" customFormat="false" ht="15.75" hidden="false" customHeight="false" outlineLevel="0" collapsed="false">
      <c r="A19" s="21"/>
    </row>
    <row r="20" customFormat="false" ht="15.75" hidden="false" customHeight="false" outlineLevel="0" collapsed="false">
      <c r="A20" s="21"/>
    </row>
    <row r="21" customFormat="false" ht="15.75" hidden="false" customHeight="false" outlineLevel="0" collapsed="false">
      <c r="A21" s="21"/>
    </row>
    <row r="22" customFormat="false" ht="15.75" hidden="false" customHeight="false" outlineLevel="0" collapsed="false">
      <c r="A22" s="21"/>
    </row>
    <row r="23" customFormat="false" ht="15.75" hidden="false" customHeight="false" outlineLevel="0" collapsed="false">
      <c r="A23" s="21"/>
    </row>
    <row r="24" customFormat="false" ht="15.75" hidden="false" customHeight="false" outlineLevel="0" collapsed="false">
      <c r="A24" s="21"/>
    </row>
    <row r="110" customFormat="false" ht="15.75" hidden="false" customHeight="false" outlineLevel="0" collapsed="false">
      <c r="A110" s="39" t="s">
        <v>147</v>
      </c>
      <c r="B110" s="29" t="s">
        <v>141</v>
      </c>
      <c r="C110" s="67" t="n">
        <v>11</v>
      </c>
      <c r="D110" s="36" t="n">
        <v>0</v>
      </c>
      <c r="E110" s="36" t="n">
        <v>0</v>
      </c>
      <c r="F110" s="36" t="n">
        <v>0</v>
      </c>
      <c r="G110" s="31" t="n">
        <f aca="false">(30+2)/50</f>
        <v>0.64</v>
      </c>
      <c r="H110" s="31" t="n">
        <f aca="false">(8+8)/86</f>
        <v>0.186046511627907</v>
      </c>
      <c r="I110" s="31" t="n">
        <f aca="false">((2+0+0+0+0)+0)/26</f>
        <v>0.0769230769230769</v>
      </c>
      <c r="J110" s="36" t="n">
        <v>0</v>
      </c>
      <c r="K110" s="47" t="n">
        <v>0</v>
      </c>
      <c r="L110" s="33" t="n">
        <f aca="false">SUM(D110:K110,-MIN(D110:K110))</f>
        <v>0.902969588550984</v>
      </c>
      <c r="M110" s="12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ColWidth="9.15625" defaultRowHeight="15.75" zeroHeight="false" outlineLevelRow="0" outlineLevelCol="0"/>
  <cols>
    <col collapsed="false" customWidth="true" hidden="false" outlineLevel="0" max="1" min="1" style="10" width="34.29"/>
    <col collapsed="false" customWidth="true" hidden="false" outlineLevel="0" max="2" min="2" style="22" width="8.86"/>
    <col collapsed="false" customWidth="true" hidden="false" outlineLevel="0" max="3" min="3" style="22" width="5.7"/>
    <col collapsed="false" customWidth="true" hidden="false" outlineLevel="0" max="6" min="4" style="23" width="6.71"/>
    <col collapsed="false" customWidth="true" hidden="false" outlineLevel="0" max="11" min="7" style="11" width="6.71"/>
    <col collapsed="false" customWidth="true" hidden="false" outlineLevel="0" max="14" min="12" style="22" width="6.71"/>
    <col collapsed="false" customWidth="false" hidden="false" outlineLevel="0" max="15" min="15" style="24" width="9.14"/>
    <col collapsed="false" customWidth="false" hidden="false" outlineLevel="0" max="19" min="16" style="68" width="9.14"/>
    <col collapsed="false" customWidth="false" hidden="false" outlineLevel="0" max="1024" min="20" style="10" width="9.14"/>
  </cols>
  <sheetData>
    <row r="1" s="15" customFormat="true" ht="15.75" hidden="false" customHeight="true" outlineLevel="0" collapsed="false">
      <c r="A1" s="12" t="s">
        <v>119</v>
      </c>
      <c r="B1" s="12" t="s">
        <v>2</v>
      </c>
      <c r="C1" s="12" t="s">
        <v>1</v>
      </c>
      <c r="D1" s="14" t="s">
        <v>184</v>
      </c>
      <c r="E1" s="14" t="s">
        <v>166</v>
      </c>
      <c r="F1" s="25" t="s">
        <v>122</v>
      </c>
      <c r="G1" s="14" t="s">
        <v>185</v>
      </c>
      <c r="H1" s="56" t="s">
        <v>124</v>
      </c>
      <c r="I1" s="56" t="s">
        <v>186</v>
      </c>
      <c r="J1" s="56" t="s">
        <v>187</v>
      </c>
      <c r="K1" s="69" t="s">
        <v>188</v>
      </c>
      <c r="L1" s="12" t="s">
        <v>3</v>
      </c>
      <c r="M1" s="12" t="s">
        <v>189</v>
      </c>
      <c r="N1" s="70" t="s">
        <v>190</v>
      </c>
      <c r="O1" s="12" t="s">
        <v>4</v>
      </c>
      <c r="P1" s="71"/>
      <c r="Q1" s="71"/>
      <c r="R1" s="71"/>
      <c r="S1" s="71"/>
    </row>
    <row r="2" s="68" customFormat="true" ht="16.5" hidden="false" customHeight="true" outlineLevel="0" collapsed="false">
      <c r="A2" s="72" t="s">
        <v>161</v>
      </c>
      <c r="B2" s="73" t="n">
        <v>145</v>
      </c>
      <c r="C2" s="74" t="n">
        <v>10</v>
      </c>
      <c r="D2" s="38" t="n">
        <v>0.6</v>
      </c>
      <c r="E2" s="38" t="n">
        <v>0.355555555555556</v>
      </c>
      <c r="F2" s="38" t="n">
        <v>0.42</v>
      </c>
      <c r="G2" s="59" t="n">
        <v>0.642857142857143</v>
      </c>
      <c r="H2" s="38" t="n">
        <v>0.418604651162791</v>
      </c>
      <c r="I2" s="59" t="n">
        <v>0.3</v>
      </c>
      <c r="J2" s="38" t="n">
        <v>0.725490196078431</v>
      </c>
      <c r="K2" s="38" t="n">
        <v>0.3</v>
      </c>
      <c r="L2" s="38" t="n">
        <f aca="false">SUM(D2:K2)-MIN(D2:K2)</f>
        <v>3.46250754565392</v>
      </c>
      <c r="M2" s="38" t="n">
        <v>0.75</v>
      </c>
      <c r="N2" s="38" t="n">
        <f aca="false">SUM(L2:M2)</f>
        <v>4.21250754565392</v>
      </c>
      <c r="O2" s="75" t="s">
        <v>103</v>
      </c>
    </row>
    <row r="3" s="68" customFormat="true" ht="16.5" hidden="false" customHeight="true" outlineLevel="0" collapsed="false">
      <c r="A3" s="76" t="s">
        <v>158</v>
      </c>
      <c r="B3" s="73" t="s">
        <v>6</v>
      </c>
      <c r="C3" s="74" t="n">
        <v>11</v>
      </c>
      <c r="D3" s="38" t="n">
        <v>0.25</v>
      </c>
      <c r="E3" s="38" t="n">
        <v>0.855555555555556</v>
      </c>
      <c r="F3" s="38" t="n">
        <v>0.42</v>
      </c>
      <c r="G3" s="59" t="n">
        <v>0.285714285714286</v>
      </c>
      <c r="H3" s="59" t="n">
        <v>0.372093023255814</v>
      </c>
      <c r="I3" s="59" t="n">
        <v>0.3</v>
      </c>
      <c r="J3" s="59" t="n">
        <v>0.509803921568627</v>
      </c>
      <c r="K3" s="38" t="n">
        <v>0.45</v>
      </c>
      <c r="L3" s="38" t="n">
        <f aca="false">SUM(D3:K3)-MIN(D3:K3)</f>
        <v>3.19316678609428</v>
      </c>
      <c r="M3" s="38" t="n">
        <v>0.416666666666667</v>
      </c>
      <c r="N3" s="38" t="n">
        <f aca="false">SUM(L3:M3)</f>
        <v>3.60983345276095</v>
      </c>
      <c r="O3" s="75" t="s">
        <v>103</v>
      </c>
    </row>
    <row r="4" customFormat="false" ht="16.5" hidden="false" customHeight="true" outlineLevel="0" collapsed="false">
      <c r="A4" s="76" t="s">
        <v>191</v>
      </c>
      <c r="B4" s="73" t="s">
        <v>6</v>
      </c>
      <c r="C4" s="74" t="n">
        <v>11</v>
      </c>
      <c r="D4" s="38" t="n">
        <v>0.375</v>
      </c>
      <c r="E4" s="38" t="n">
        <v>0.288888888888889</v>
      </c>
      <c r="F4" s="38" t="n">
        <v>0.86</v>
      </c>
      <c r="G4" s="59" t="n">
        <v>0.2</v>
      </c>
      <c r="H4" s="59" t="n">
        <v>0.767441860465116</v>
      </c>
      <c r="I4" s="61" t="n">
        <v>0</v>
      </c>
      <c r="J4" s="38" t="n">
        <v>0.607843137254902</v>
      </c>
      <c r="K4" s="38" t="n">
        <v>0.45</v>
      </c>
      <c r="L4" s="38" t="n">
        <f aca="false">SUM(D4:K4)-MIN(D4:K4)</f>
        <v>3.54917388660891</v>
      </c>
      <c r="M4" s="61" t="n">
        <v>0</v>
      </c>
      <c r="N4" s="38" t="n">
        <f aca="false">SUM(L4:M4)</f>
        <v>3.54917388660891</v>
      </c>
      <c r="O4" s="75" t="s">
        <v>103</v>
      </c>
    </row>
    <row r="5" customFormat="false" ht="16.5" hidden="false" customHeight="true" outlineLevel="0" collapsed="false">
      <c r="A5" s="76" t="s">
        <v>178</v>
      </c>
      <c r="B5" s="73" t="n">
        <v>208</v>
      </c>
      <c r="C5" s="74" t="n">
        <v>11</v>
      </c>
      <c r="D5" s="38" t="n">
        <v>0.075</v>
      </c>
      <c r="E5" s="38" t="n">
        <v>0.711111111111111</v>
      </c>
      <c r="F5" s="38" t="n">
        <v>0.26</v>
      </c>
      <c r="G5" s="59" t="n">
        <v>0.25</v>
      </c>
      <c r="H5" s="59" t="n">
        <v>0.209302325581395</v>
      </c>
      <c r="I5" s="59" t="n">
        <v>0.3</v>
      </c>
      <c r="J5" s="59" t="n">
        <v>0.490196078431373</v>
      </c>
      <c r="K5" s="38" t="n">
        <v>0.3</v>
      </c>
      <c r="L5" s="38" t="n">
        <f aca="false">SUM(D5:K5)-MIN(D5:K5)</f>
        <v>2.52060951512388</v>
      </c>
      <c r="M5" s="77" t="n">
        <v>1</v>
      </c>
      <c r="N5" s="38" t="n">
        <f aca="false">SUM(L5:M5)</f>
        <v>3.52060951512388</v>
      </c>
      <c r="O5" s="75" t="s">
        <v>103</v>
      </c>
    </row>
    <row r="6" s="68" customFormat="true" ht="16.5" hidden="false" customHeight="true" outlineLevel="0" collapsed="false">
      <c r="A6" s="78" t="s">
        <v>177</v>
      </c>
      <c r="B6" s="79" t="n">
        <v>178</v>
      </c>
      <c r="C6" s="80" t="n">
        <v>10</v>
      </c>
      <c r="D6" s="38" t="n">
        <v>0.225</v>
      </c>
      <c r="E6" s="38" t="n">
        <v>0.4</v>
      </c>
      <c r="F6" s="38" t="n">
        <v>0.3</v>
      </c>
      <c r="G6" s="59" t="n">
        <v>0.25</v>
      </c>
      <c r="H6" s="38" t="n">
        <v>0.534883720930232</v>
      </c>
      <c r="I6" s="59" t="n">
        <v>0.96</v>
      </c>
      <c r="J6" s="38" t="n">
        <v>0.431372549019608</v>
      </c>
      <c r="K6" s="38" t="n">
        <v>0.35</v>
      </c>
      <c r="L6" s="38" t="n">
        <f aca="false">SUM(D6:K6)-MIN(D6:K6)</f>
        <v>3.22625626994984</v>
      </c>
      <c r="M6" s="38" t="n">
        <v>0.283333333333333</v>
      </c>
      <c r="N6" s="38" t="n">
        <f aca="false">SUM(L6:M6)</f>
        <v>3.50958960328317</v>
      </c>
      <c r="O6" s="81" t="s">
        <v>192</v>
      </c>
    </row>
    <row r="7" s="68" customFormat="true" ht="16.5" hidden="false" customHeight="true" outlineLevel="0" collapsed="false">
      <c r="A7" s="76" t="s">
        <v>193</v>
      </c>
      <c r="B7" s="73" t="s">
        <v>6</v>
      </c>
      <c r="C7" s="74" t="n">
        <v>10</v>
      </c>
      <c r="D7" s="38" t="n">
        <v>0.15</v>
      </c>
      <c r="E7" s="38" t="n">
        <v>0.688888888888889</v>
      </c>
      <c r="F7" s="38" t="n">
        <v>0.36</v>
      </c>
      <c r="G7" s="59" t="n">
        <v>0.142857142857143</v>
      </c>
      <c r="H7" s="61" t="n">
        <v>0</v>
      </c>
      <c r="I7" s="59" t="n">
        <v>0.04</v>
      </c>
      <c r="J7" s="38" t="n">
        <v>0.529411764705882</v>
      </c>
      <c r="K7" s="38" t="n">
        <v>0.3</v>
      </c>
      <c r="L7" s="38" t="n">
        <f aca="false">SUM(D7:K7)-MIN(D7:K7)</f>
        <v>2.21115779645191</v>
      </c>
      <c r="M7" s="38" t="n">
        <v>0.583333333333333</v>
      </c>
      <c r="N7" s="38" t="n">
        <f aca="false">SUM(L7:M7)</f>
        <v>2.79449112978525</v>
      </c>
      <c r="O7" s="75" t="s">
        <v>103</v>
      </c>
    </row>
    <row r="8" s="82" customFormat="true" ht="16.5" hidden="false" customHeight="true" outlineLevel="0" collapsed="false">
      <c r="A8" s="72" t="s">
        <v>194</v>
      </c>
      <c r="B8" s="73" t="s">
        <v>195</v>
      </c>
      <c r="C8" s="74" t="n">
        <v>8</v>
      </c>
      <c r="D8" s="61" t="n">
        <v>0</v>
      </c>
      <c r="E8" s="38" t="n">
        <v>0.0888888888888889</v>
      </c>
      <c r="F8" s="38" t="n">
        <v>0.14</v>
      </c>
      <c r="G8" s="59" t="n">
        <v>0.25</v>
      </c>
      <c r="H8" s="38" t="n">
        <v>0.162790697674419</v>
      </c>
      <c r="I8" s="59" t="n">
        <v>0.04</v>
      </c>
      <c r="J8" s="38" t="n">
        <v>0.529411764705882</v>
      </c>
      <c r="K8" s="38" t="n">
        <v>0.25</v>
      </c>
      <c r="L8" s="38" t="n">
        <f aca="false">SUM(D8:K8)-MIN(D8:K8)</f>
        <v>1.46109135126919</v>
      </c>
      <c r="M8" s="38" t="n">
        <v>0.466666666666667</v>
      </c>
      <c r="N8" s="38" t="n">
        <f aca="false">SUM(L8:M8)</f>
        <v>1.92775801793586</v>
      </c>
      <c r="O8" s="75" t="s">
        <v>103</v>
      </c>
      <c r="P8" s="68"/>
      <c r="Q8" s="68"/>
      <c r="R8" s="68"/>
      <c r="S8" s="68"/>
    </row>
    <row r="9" s="68" customFormat="true" ht="16.5" hidden="false" customHeight="true" outlineLevel="0" collapsed="false">
      <c r="A9" s="78" t="s">
        <v>172</v>
      </c>
      <c r="B9" s="79" t="s">
        <v>6</v>
      </c>
      <c r="C9" s="80" t="n">
        <v>11</v>
      </c>
      <c r="D9" s="38" t="n">
        <v>0.25</v>
      </c>
      <c r="E9" s="38" t="n">
        <v>0.933333333333333</v>
      </c>
      <c r="F9" s="61" t="n">
        <v>0</v>
      </c>
      <c r="G9" s="59" t="n">
        <v>0.0357142857142857</v>
      </c>
      <c r="H9" s="59" t="n">
        <v>0.325581395348837</v>
      </c>
      <c r="I9" s="61" t="n">
        <v>0</v>
      </c>
      <c r="J9" s="61" t="n">
        <v>0</v>
      </c>
      <c r="K9" s="38" t="n">
        <v>0.3</v>
      </c>
      <c r="L9" s="38" t="n">
        <f aca="false">SUM(D9:K9)-MIN(D9:K9)</f>
        <v>1.84462901439646</v>
      </c>
      <c r="M9" s="61" t="n">
        <v>0</v>
      </c>
      <c r="N9" s="38" t="n">
        <f aca="false">SUM(L9:M9)</f>
        <v>1.84462901439646</v>
      </c>
      <c r="O9" s="81" t="s">
        <v>192</v>
      </c>
    </row>
    <row r="10" customFormat="false" ht="16.5" hidden="false" customHeight="true" outlineLevel="0" collapsed="false">
      <c r="A10" s="72" t="s">
        <v>196</v>
      </c>
      <c r="B10" s="73" t="n">
        <v>171</v>
      </c>
      <c r="C10" s="74" t="n">
        <v>9</v>
      </c>
      <c r="D10" s="61" t="n">
        <v>0</v>
      </c>
      <c r="E10" s="61" t="n">
        <v>0</v>
      </c>
      <c r="F10" s="38" t="n">
        <v>0.3</v>
      </c>
      <c r="G10" s="59" t="n">
        <v>0.178571428571429</v>
      </c>
      <c r="H10" s="38" t="n">
        <v>0.0232558139534884</v>
      </c>
      <c r="I10" s="59" t="n">
        <v>0.12</v>
      </c>
      <c r="J10" s="38" t="n">
        <v>0.450980392156863</v>
      </c>
      <c r="K10" s="38" t="n">
        <v>0.2</v>
      </c>
      <c r="L10" s="38" t="n">
        <f aca="false">SUM(D10:K10)-MIN(D10:K10)</f>
        <v>1.27280763468178</v>
      </c>
      <c r="M10" s="38" t="n">
        <v>0.416666666666667</v>
      </c>
      <c r="N10" s="38" t="n">
        <f aca="false">SUM(L10:M10)</f>
        <v>1.68947430134845</v>
      </c>
      <c r="O10" s="75" t="s">
        <v>103</v>
      </c>
    </row>
    <row r="11" customFormat="false" ht="16.5" hidden="false" customHeight="true" outlineLevel="0" collapsed="false">
      <c r="A11" s="76" t="s">
        <v>197</v>
      </c>
      <c r="B11" s="73" t="s">
        <v>6</v>
      </c>
      <c r="C11" s="74" t="n">
        <v>10</v>
      </c>
      <c r="D11" s="61" t="n">
        <v>0</v>
      </c>
      <c r="E11" s="38" t="n">
        <v>0.0888888888888889</v>
      </c>
      <c r="F11" s="38" t="n">
        <v>0.06</v>
      </c>
      <c r="G11" s="59" t="n">
        <v>0.25</v>
      </c>
      <c r="H11" s="38" t="n">
        <v>0.325581395348837</v>
      </c>
      <c r="I11" s="59" t="n">
        <v>0.04</v>
      </c>
      <c r="J11" s="38" t="n">
        <v>0.431372549019608</v>
      </c>
      <c r="K11" s="38" t="n">
        <v>0.3</v>
      </c>
      <c r="L11" s="38" t="n">
        <f aca="false">SUM(D11:K11)-MIN(D11:K11)</f>
        <v>1.49584283325733</v>
      </c>
      <c r="M11" s="38" t="n">
        <v>0.133333333333333</v>
      </c>
      <c r="N11" s="38" t="n">
        <f aca="false">SUM(L11:M11)</f>
        <v>1.62917616659067</v>
      </c>
      <c r="O11" s="75" t="s">
        <v>103</v>
      </c>
    </row>
    <row r="12" s="68" customFormat="true" ht="15.75" hidden="false" customHeight="true" outlineLevel="0" collapsed="false">
      <c r="A12" s="83" t="s">
        <v>198</v>
      </c>
      <c r="B12" s="73" t="n">
        <v>145</v>
      </c>
      <c r="C12" s="74" t="n">
        <v>11</v>
      </c>
      <c r="D12" s="61" t="n">
        <v>0</v>
      </c>
      <c r="E12" s="61" t="n">
        <v>0</v>
      </c>
      <c r="F12" s="38" t="n">
        <v>0.08</v>
      </c>
      <c r="G12" s="59" t="n">
        <v>0.285714285714286</v>
      </c>
      <c r="H12" s="59" t="n">
        <v>0.232558139534884</v>
      </c>
      <c r="I12" s="59" t="n">
        <v>0.04</v>
      </c>
      <c r="J12" s="59" t="n">
        <v>0.313725490196078</v>
      </c>
      <c r="K12" s="38" t="n">
        <v>0.3</v>
      </c>
      <c r="L12" s="38" t="n">
        <f aca="false">SUM(D12:K12)-MIN(D12:K12)</f>
        <v>1.25199791544525</v>
      </c>
      <c r="M12" s="38" t="n">
        <v>0.316666666666667</v>
      </c>
      <c r="N12" s="38" t="n">
        <f aca="false">SUM(L12:M12)</f>
        <v>1.56866458211191</v>
      </c>
      <c r="O12" s="81" t="s">
        <v>192</v>
      </c>
    </row>
    <row r="13" customFormat="false" ht="16.5" hidden="false" customHeight="true" outlineLevel="0" collapsed="false">
      <c r="A13" s="76" t="s">
        <v>183</v>
      </c>
      <c r="B13" s="73" t="s">
        <v>199</v>
      </c>
      <c r="C13" s="74" t="n">
        <v>11</v>
      </c>
      <c r="D13" s="61" t="n">
        <v>0</v>
      </c>
      <c r="E13" s="38" t="n">
        <v>0.355555555555556</v>
      </c>
      <c r="F13" s="38" t="n">
        <v>0.08</v>
      </c>
      <c r="G13" s="59" t="n">
        <v>0.142857142857143</v>
      </c>
      <c r="H13" s="38" t="n">
        <v>0.0465116279069768</v>
      </c>
      <c r="I13" s="59" t="n">
        <v>0.12</v>
      </c>
      <c r="J13" s="59" t="n">
        <v>0.450980392156863</v>
      </c>
      <c r="K13" s="61" t="n">
        <v>0</v>
      </c>
      <c r="L13" s="38" t="n">
        <f aca="false">SUM(D13:K13)-MIN(D13:K13)</f>
        <v>1.19590471847654</v>
      </c>
      <c r="M13" s="38" t="n">
        <v>0.366666666666667</v>
      </c>
      <c r="N13" s="38" t="n">
        <f aca="false">SUM(L13:M13)</f>
        <v>1.5625713851432</v>
      </c>
      <c r="O13" s="75" t="s">
        <v>103</v>
      </c>
    </row>
    <row r="14" customFormat="false" ht="16.5" hidden="false" customHeight="true" outlineLevel="0" collapsed="false">
      <c r="A14" s="72" t="s">
        <v>200</v>
      </c>
      <c r="B14" s="73" t="n">
        <v>171</v>
      </c>
      <c r="C14" s="74" t="n">
        <v>9</v>
      </c>
      <c r="D14" s="61" t="n">
        <v>0</v>
      </c>
      <c r="E14" s="61" t="n">
        <v>0</v>
      </c>
      <c r="F14" s="61" t="n">
        <v>0</v>
      </c>
      <c r="G14" s="59" t="n">
        <v>0.107142857142857</v>
      </c>
      <c r="H14" s="38" t="n">
        <v>0.0465116279069768</v>
      </c>
      <c r="I14" s="59" t="n">
        <v>0.3</v>
      </c>
      <c r="J14" s="38" t="n">
        <v>0.509803921568627</v>
      </c>
      <c r="K14" s="38" t="n">
        <v>0.25</v>
      </c>
      <c r="L14" s="38" t="n">
        <f aca="false">SUM(D14:K14)-MIN(D14:K14)</f>
        <v>1.21345840661846</v>
      </c>
      <c r="M14" s="38" t="n">
        <v>0.333333333333333</v>
      </c>
      <c r="N14" s="38" t="n">
        <f aca="false">SUM(L14:M14)</f>
        <v>1.54679173995179</v>
      </c>
      <c r="O14" s="75" t="s">
        <v>103</v>
      </c>
    </row>
    <row r="15" s="68" customFormat="true" ht="16.5" hidden="false" customHeight="true" outlineLevel="0" collapsed="false">
      <c r="A15" s="76" t="s">
        <v>201</v>
      </c>
      <c r="B15" s="79" t="n">
        <v>178</v>
      </c>
      <c r="C15" s="80" t="n">
        <v>10</v>
      </c>
      <c r="D15" s="61" t="n">
        <v>0</v>
      </c>
      <c r="E15" s="38" t="n">
        <v>0.0555555555555556</v>
      </c>
      <c r="F15" s="38" t="n">
        <v>0.16</v>
      </c>
      <c r="G15" s="59" t="n">
        <v>0.25</v>
      </c>
      <c r="H15" s="38" t="n">
        <v>0.116279069767442</v>
      </c>
      <c r="I15" s="59" t="n">
        <v>0.12</v>
      </c>
      <c r="J15" s="38" t="n">
        <v>0.156862745098039</v>
      </c>
      <c r="K15" s="38" t="n">
        <v>0.2</v>
      </c>
      <c r="L15" s="38" t="n">
        <f aca="false">SUM(D15:K15)-MIN(D15:K15)</f>
        <v>1.05869737042104</v>
      </c>
      <c r="M15" s="38" t="n">
        <v>0.233333333333333</v>
      </c>
      <c r="N15" s="38" t="n">
        <f aca="false">SUM(L15:M15)</f>
        <v>1.29203070375437</v>
      </c>
      <c r="O15" s="75" t="s">
        <v>103</v>
      </c>
    </row>
    <row r="16" customFormat="false" ht="16.5" hidden="false" customHeight="true" outlineLevel="0" collapsed="false">
      <c r="A16" s="76" t="s">
        <v>202</v>
      </c>
      <c r="B16" s="73" t="s">
        <v>6</v>
      </c>
      <c r="C16" s="74" t="n">
        <v>9</v>
      </c>
      <c r="D16" s="38" t="n">
        <v>0.1125</v>
      </c>
      <c r="E16" s="38" t="n">
        <v>0.0444444444444444</v>
      </c>
      <c r="F16" s="38" t="n">
        <v>0.08</v>
      </c>
      <c r="G16" s="59" t="n">
        <v>0.0714285714285714</v>
      </c>
      <c r="H16" s="38" t="n">
        <v>0.116279069767442</v>
      </c>
      <c r="I16" s="59" t="n">
        <v>0.04</v>
      </c>
      <c r="J16" s="38" t="n">
        <v>0.568627450980392</v>
      </c>
      <c r="K16" s="61" t="n">
        <v>0</v>
      </c>
      <c r="L16" s="38" t="n">
        <f aca="false">SUM(D16:K16)-MIN(D16:K16)</f>
        <v>1.03327953662085</v>
      </c>
      <c r="M16" s="38" t="n">
        <v>0</v>
      </c>
      <c r="N16" s="38" t="n">
        <f aca="false">SUM(L16:M16)</f>
        <v>1.03327953662085</v>
      </c>
      <c r="O16" s="75" t="s">
        <v>103</v>
      </c>
    </row>
    <row r="17" customFormat="false" ht="16.5" hidden="false" customHeight="true" outlineLevel="0" collapsed="false">
      <c r="A17" s="76" t="s">
        <v>203</v>
      </c>
      <c r="B17" s="73" t="s">
        <v>137</v>
      </c>
      <c r="C17" s="74" t="n">
        <v>11</v>
      </c>
      <c r="D17" s="61" t="n">
        <v>0</v>
      </c>
      <c r="E17" s="38" t="n">
        <v>0.288888888888889</v>
      </c>
      <c r="F17" s="38" t="n">
        <v>0.06</v>
      </c>
      <c r="G17" s="61" t="n">
        <v>0</v>
      </c>
      <c r="H17" s="59" t="n">
        <v>0.0930232558139535</v>
      </c>
      <c r="I17" s="61" t="n">
        <v>0</v>
      </c>
      <c r="J17" s="59" t="n">
        <v>0.117647058823529</v>
      </c>
      <c r="K17" s="61" t="n">
        <v>0</v>
      </c>
      <c r="L17" s="38" t="n">
        <f aca="false">SUM(D17:K17)-MIN(D17:K17)</f>
        <v>0.559559203526372</v>
      </c>
      <c r="M17" s="38" t="n">
        <v>0.333333333333333</v>
      </c>
      <c r="N17" s="38" t="n">
        <f aca="false">SUM(L17:M17)</f>
        <v>0.892892536859705</v>
      </c>
      <c r="O17" s="75" t="s">
        <v>103</v>
      </c>
    </row>
    <row r="18" customFormat="false" ht="16.5" hidden="false" customHeight="true" outlineLevel="0" collapsed="false">
      <c r="A18" s="84" t="s">
        <v>204</v>
      </c>
      <c r="B18" s="73" t="n">
        <v>145</v>
      </c>
      <c r="C18" s="74" t="n">
        <v>10</v>
      </c>
      <c r="D18" s="61" t="n">
        <v>0</v>
      </c>
      <c r="E18" s="61" t="n">
        <v>0</v>
      </c>
      <c r="F18" s="38" t="n">
        <v>0.14</v>
      </c>
      <c r="G18" s="59" t="n">
        <v>0.107142857142857</v>
      </c>
      <c r="H18" s="61" t="n">
        <v>0</v>
      </c>
      <c r="I18" s="61" t="n">
        <v>0</v>
      </c>
      <c r="J18" s="38" t="n">
        <v>0.392156862745098</v>
      </c>
      <c r="K18" s="61" t="n">
        <v>0</v>
      </c>
      <c r="L18" s="38" t="n">
        <f aca="false">SUM(D18:K18)-MIN(D18:K18)</f>
        <v>0.639299719887955</v>
      </c>
      <c r="M18" s="38" t="n">
        <v>0.2</v>
      </c>
      <c r="N18" s="38" t="n">
        <f aca="false">SUM(L18:M18)</f>
        <v>0.839299719887955</v>
      </c>
      <c r="O18" s="75" t="s">
        <v>103</v>
      </c>
    </row>
    <row r="19" customFormat="false" ht="16.5" hidden="false" customHeight="true" outlineLevel="0" collapsed="false">
      <c r="A19" s="72" t="s">
        <v>205</v>
      </c>
      <c r="B19" s="73" t="n">
        <v>145</v>
      </c>
      <c r="C19" s="74" t="n">
        <v>9</v>
      </c>
      <c r="D19" s="61" t="n">
        <v>0</v>
      </c>
      <c r="E19" s="61" t="n">
        <v>0</v>
      </c>
      <c r="F19" s="38" t="n">
        <v>0.14</v>
      </c>
      <c r="G19" s="59" t="n">
        <v>0.214285714285714</v>
      </c>
      <c r="H19" s="38" t="n">
        <v>0.0930232558139535</v>
      </c>
      <c r="I19" s="59" t="n">
        <v>0.04</v>
      </c>
      <c r="J19" s="61" t="n">
        <v>0</v>
      </c>
      <c r="K19" s="61" t="n">
        <v>0</v>
      </c>
      <c r="L19" s="38" t="n">
        <f aca="false">SUM(D19:K19)-MIN(D19:K19)</f>
        <v>0.487308970099668</v>
      </c>
      <c r="M19" s="38" t="n">
        <v>0.233333333333333</v>
      </c>
      <c r="N19" s="38" t="n">
        <f aca="false">SUM(L19:M19)</f>
        <v>0.720642303433001</v>
      </c>
      <c r="O19" s="75" t="s">
        <v>103</v>
      </c>
    </row>
    <row r="20" customFormat="false" ht="16.5" hidden="false" customHeight="true" outlineLevel="0" collapsed="false">
      <c r="A20" s="76" t="s">
        <v>206</v>
      </c>
      <c r="B20" s="73" t="s">
        <v>6</v>
      </c>
      <c r="C20" s="74" t="n">
        <v>10</v>
      </c>
      <c r="D20" s="61" t="n">
        <v>0</v>
      </c>
      <c r="E20" s="61" t="n">
        <v>0</v>
      </c>
      <c r="F20" s="38" t="n">
        <v>0.06</v>
      </c>
      <c r="G20" s="59" t="n">
        <v>0.214285714285714</v>
      </c>
      <c r="H20" s="38" t="n">
        <v>0.162790697674419</v>
      </c>
      <c r="I20" s="61" t="n">
        <v>0</v>
      </c>
      <c r="J20" s="38" t="n">
        <v>0.0196078431372549</v>
      </c>
      <c r="K20" s="61" t="n">
        <v>0</v>
      </c>
      <c r="L20" s="38" t="n">
        <f aca="false">SUM(D20:K20)-MIN(D20:K20)</f>
        <v>0.456684255097388</v>
      </c>
      <c r="M20" s="38" t="n">
        <v>0.0833333333333333</v>
      </c>
      <c r="N20" s="38" t="n">
        <f aca="false">SUM(L20:M20)</f>
        <v>0.540017588430721</v>
      </c>
      <c r="O20" s="85"/>
    </row>
    <row r="21" s="82" customFormat="true" ht="16.5" hidden="false" customHeight="true" outlineLevel="0" collapsed="false">
      <c r="A21" s="72" t="s">
        <v>207</v>
      </c>
      <c r="B21" s="73" t="n">
        <v>171</v>
      </c>
      <c r="C21" s="74" t="n">
        <v>11</v>
      </c>
      <c r="D21" s="61" t="n">
        <v>0</v>
      </c>
      <c r="E21" s="61" t="n">
        <v>0</v>
      </c>
      <c r="F21" s="38" t="n">
        <v>0.04</v>
      </c>
      <c r="G21" s="59" t="n">
        <v>0.214285714285714</v>
      </c>
      <c r="H21" s="61" t="n">
        <v>0</v>
      </c>
      <c r="I21" s="61" t="n">
        <v>0</v>
      </c>
      <c r="J21" s="59" t="n">
        <v>0.156862745098039</v>
      </c>
      <c r="K21" s="61" t="n">
        <v>0</v>
      </c>
      <c r="L21" s="38" t="n">
        <f aca="false">SUM(D21:K21)-MIN(D21:K21)</f>
        <v>0.411148459383753</v>
      </c>
      <c r="M21" s="38" t="n">
        <v>0</v>
      </c>
      <c r="N21" s="38" t="n">
        <f aca="false">SUM(L21:M21)</f>
        <v>0.411148459383753</v>
      </c>
      <c r="O21" s="85"/>
      <c r="P21" s="68"/>
      <c r="Q21" s="68"/>
      <c r="R21" s="68"/>
      <c r="S21" s="68"/>
    </row>
    <row r="22" customFormat="false" ht="16.5" hidden="false" customHeight="true" outlineLevel="0" collapsed="false">
      <c r="A22" s="72" t="s">
        <v>208</v>
      </c>
      <c r="B22" s="73" t="n">
        <v>178</v>
      </c>
      <c r="C22" s="74" t="n">
        <v>10</v>
      </c>
      <c r="D22" s="61" t="n">
        <v>0</v>
      </c>
      <c r="E22" s="61" t="n">
        <v>0</v>
      </c>
      <c r="F22" s="61" t="n">
        <v>0</v>
      </c>
      <c r="G22" s="61" t="n">
        <v>0</v>
      </c>
      <c r="H22" s="38" t="n">
        <v>0.116279069767442</v>
      </c>
      <c r="I22" s="61" t="n">
        <v>0</v>
      </c>
      <c r="J22" s="38" t="n">
        <v>0.156862745098039</v>
      </c>
      <c r="K22" s="61" t="n">
        <v>0</v>
      </c>
      <c r="L22" s="38" t="n">
        <f aca="false">SUM(D22:K22)-MIN(D22:K22)</f>
        <v>0.273141814865481</v>
      </c>
      <c r="M22" s="61" t="n">
        <v>0</v>
      </c>
      <c r="N22" s="38" t="n">
        <f aca="false">SUM(L22:M22)</f>
        <v>0.273141814865481</v>
      </c>
      <c r="O22" s="85"/>
    </row>
    <row r="23" customFormat="false" ht="16.5" hidden="false" customHeight="true" outlineLevel="0" collapsed="false">
      <c r="A23" s="72" t="s">
        <v>209</v>
      </c>
      <c r="B23" s="73" t="n">
        <v>171</v>
      </c>
      <c r="C23" s="74" t="n">
        <v>9</v>
      </c>
      <c r="D23" s="38" t="n">
        <v>0.225</v>
      </c>
      <c r="E23" s="61" t="n">
        <v>0</v>
      </c>
      <c r="F23" s="61" t="n">
        <v>0</v>
      </c>
      <c r="G23" s="61" t="n">
        <v>0</v>
      </c>
      <c r="H23" s="61" t="n">
        <v>0</v>
      </c>
      <c r="I23" s="61" t="n">
        <v>0</v>
      </c>
      <c r="J23" s="61" t="n">
        <v>0</v>
      </c>
      <c r="K23" s="61" t="n">
        <v>0</v>
      </c>
      <c r="L23" s="38" t="n">
        <f aca="false">SUM(D23:K23)-MIN(D23:K23)</f>
        <v>0.225</v>
      </c>
      <c r="M23" s="61" t="n">
        <v>0</v>
      </c>
      <c r="N23" s="38" t="n">
        <f aca="false">SUM(L23:M23)</f>
        <v>0.225</v>
      </c>
      <c r="O23" s="85"/>
    </row>
    <row r="24" customFormat="false" ht="16.5" hidden="false" customHeight="true" outlineLevel="0" collapsed="false">
      <c r="A24" s="72" t="s">
        <v>182</v>
      </c>
      <c r="B24" s="73" t="n">
        <v>171</v>
      </c>
      <c r="C24" s="74" t="n">
        <v>11</v>
      </c>
      <c r="D24" s="38" t="n">
        <v>0.0375</v>
      </c>
      <c r="E24" s="38" t="n">
        <v>0.0222222222222222</v>
      </c>
      <c r="F24" s="38" t="n">
        <v>0.06</v>
      </c>
      <c r="G24" s="61" t="n">
        <v>0</v>
      </c>
      <c r="H24" s="61" t="n">
        <v>0</v>
      </c>
      <c r="I24" s="61" t="n">
        <v>0</v>
      </c>
      <c r="J24" s="61" t="n">
        <v>0</v>
      </c>
      <c r="K24" s="61" t="n">
        <v>0</v>
      </c>
      <c r="L24" s="38" t="n">
        <f aca="false">SUM(D24:K24)-MIN(D24:K24)</f>
        <v>0.119722222222222</v>
      </c>
      <c r="M24" s="61" t="n">
        <v>0</v>
      </c>
      <c r="N24" s="38" t="n">
        <f aca="false">SUM(L24:M24)</f>
        <v>0.119722222222222</v>
      </c>
      <c r="O24" s="16"/>
    </row>
    <row r="25" s="68" customFormat="true" ht="16.5" hidden="false" customHeight="true" outlineLevel="0" collapsed="false">
      <c r="A25" s="72" t="s">
        <v>210</v>
      </c>
      <c r="B25" s="73" t="n">
        <v>171</v>
      </c>
      <c r="C25" s="74" t="n">
        <v>10</v>
      </c>
      <c r="D25" s="61" t="n">
        <v>0</v>
      </c>
      <c r="E25" s="61" t="n">
        <v>0</v>
      </c>
      <c r="F25" s="61" t="n">
        <v>0</v>
      </c>
      <c r="G25" s="61" t="n">
        <v>0</v>
      </c>
      <c r="H25" s="61" t="n">
        <v>0</v>
      </c>
      <c r="I25" s="61" t="n">
        <v>0</v>
      </c>
      <c r="J25" s="61" t="n">
        <v>0</v>
      </c>
      <c r="K25" s="61" t="n">
        <v>0</v>
      </c>
      <c r="L25" s="38" t="n">
        <f aca="false">SUM(D25:K25)-MIN(D25:K25)</f>
        <v>0</v>
      </c>
      <c r="M25" s="61" t="n">
        <v>0</v>
      </c>
      <c r="N25" s="38" t="n">
        <f aca="false">SUM(L25:M25)</f>
        <v>0</v>
      </c>
      <c r="O25" s="86"/>
    </row>
    <row r="26" s="68" customFormat="true" ht="16.5" hidden="false" customHeight="true" outlineLevel="0" collapsed="false">
      <c r="A26" s="76" t="s">
        <v>211</v>
      </c>
      <c r="B26" s="79" t="n">
        <v>142</v>
      </c>
      <c r="C26" s="80" t="n">
        <v>11</v>
      </c>
      <c r="D26" s="61" t="n">
        <v>0</v>
      </c>
      <c r="E26" s="61" t="n">
        <v>0</v>
      </c>
      <c r="F26" s="61" t="n">
        <v>0</v>
      </c>
      <c r="G26" s="61" t="n">
        <v>0</v>
      </c>
      <c r="H26" s="61" t="n">
        <v>0</v>
      </c>
      <c r="I26" s="61" t="n">
        <v>0</v>
      </c>
      <c r="J26" s="61" t="n">
        <v>0</v>
      </c>
      <c r="K26" s="61" t="n">
        <v>0</v>
      </c>
      <c r="L26" s="61" t="n">
        <v>0</v>
      </c>
      <c r="M26" s="38"/>
      <c r="N26" s="38"/>
      <c r="O26" s="87"/>
    </row>
    <row r="27" s="68" customFormat="true" ht="16.5" hidden="false" customHeight="true" outlineLevel="0" collapsed="false">
      <c r="A27" s="72" t="s">
        <v>212</v>
      </c>
      <c r="B27" s="73" t="n">
        <v>171</v>
      </c>
      <c r="C27" s="74" t="n">
        <v>9</v>
      </c>
      <c r="D27" s="61" t="n">
        <v>0</v>
      </c>
      <c r="E27" s="61" t="n">
        <v>0</v>
      </c>
      <c r="F27" s="61" t="n">
        <v>0</v>
      </c>
      <c r="G27" s="61" t="n">
        <v>0</v>
      </c>
      <c r="H27" s="61" t="n">
        <v>0</v>
      </c>
      <c r="I27" s="61" t="n">
        <v>0</v>
      </c>
      <c r="J27" s="61" t="n">
        <v>0</v>
      </c>
      <c r="K27" s="38" t="n">
        <f aca="false">SUM(D27:J27)</f>
        <v>0</v>
      </c>
      <c r="L27" s="38" t="n">
        <f aca="false">SUM(D27:K27)-MIN(D27:K27)</f>
        <v>0</v>
      </c>
      <c r="M27" s="38"/>
      <c r="N27" s="38"/>
      <c r="O27" s="86"/>
    </row>
    <row r="28" s="68" customFormat="true" ht="16.5" hidden="false" customHeight="true" outlineLevel="0" collapsed="false">
      <c r="A28" s="72" t="s">
        <v>213</v>
      </c>
      <c r="B28" s="73" t="n">
        <v>145</v>
      </c>
      <c r="C28" s="74" t="n">
        <v>11</v>
      </c>
      <c r="D28" s="38" t="n">
        <v>0.225</v>
      </c>
      <c r="E28" s="38"/>
      <c r="F28" s="38"/>
      <c r="G28" s="59"/>
      <c r="H28" s="59"/>
      <c r="I28" s="59"/>
      <c r="J28" s="59"/>
      <c r="K28" s="38"/>
      <c r="L28" s="38" t="n">
        <f aca="false">SUM(D28:K28)-MIN(D28:K28)</f>
        <v>0</v>
      </c>
      <c r="M28" s="38"/>
      <c r="N28" s="38"/>
      <c r="O28" s="88"/>
    </row>
    <row r="29" customFormat="false" ht="15.75" hidden="false" customHeight="false" outlineLevel="0" collapsed="false">
      <c r="O29" s="24" t="s">
        <v>118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R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3" activeCellId="0" sqref="F33"/>
    </sheetView>
  </sheetViews>
  <sheetFormatPr defaultColWidth="9.15625" defaultRowHeight="16.5" zeroHeight="false" outlineLevelRow="0" outlineLevelCol="0"/>
  <cols>
    <col collapsed="false" customWidth="true" hidden="false" outlineLevel="0" max="1" min="1" style="10" width="34.29"/>
    <col collapsed="false" customWidth="true" hidden="false" outlineLevel="0" max="2" min="2" style="22" width="8.86"/>
    <col collapsed="false" customWidth="true" hidden="false" outlineLevel="0" max="3" min="3" style="22" width="5.7"/>
    <col collapsed="false" customWidth="true" hidden="false" outlineLevel="0" max="6" min="4" style="23" width="6.71"/>
    <col collapsed="false" customWidth="true" hidden="false" outlineLevel="0" max="9" min="7" style="11" width="6.71"/>
    <col collapsed="false" customWidth="true" hidden="false" outlineLevel="0" max="10" min="10" style="11" width="7.29"/>
    <col collapsed="false" customWidth="true" hidden="false" outlineLevel="0" max="11" min="11" style="11" width="7.86"/>
    <col collapsed="false" customWidth="true" hidden="false" outlineLevel="0" max="15" min="12" style="22" width="6.71"/>
    <col collapsed="false" customWidth="true" hidden="false" outlineLevel="0" max="16" min="16" style="24" width="8.14"/>
    <col collapsed="false" customWidth="true" hidden="false" outlineLevel="0" max="17" min="17" style="68" width="10.42"/>
    <col collapsed="false" customWidth="false" hidden="false" outlineLevel="0" max="20" min="18" style="68" width="9.14"/>
    <col collapsed="false" customWidth="false" hidden="false" outlineLevel="0" max="1024" min="21" style="10" width="9.14"/>
  </cols>
  <sheetData>
    <row r="1" s="15" customFormat="true" ht="15.75" hidden="false" customHeight="true" outlineLevel="0" collapsed="false">
      <c r="A1" s="12" t="s">
        <v>119</v>
      </c>
      <c r="B1" s="12" t="s">
        <v>2</v>
      </c>
      <c r="C1" s="12" t="s">
        <v>1</v>
      </c>
      <c r="D1" s="14" t="s">
        <v>214</v>
      </c>
      <c r="E1" s="14" t="s">
        <v>215</v>
      </c>
      <c r="F1" s="25" t="s">
        <v>216</v>
      </c>
      <c r="G1" s="14" t="s">
        <v>217</v>
      </c>
      <c r="H1" s="56" t="s">
        <v>218</v>
      </c>
      <c r="I1" s="56" t="s">
        <v>219</v>
      </c>
      <c r="J1" s="56" t="s">
        <v>220</v>
      </c>
      <c r="K1" s="89" t="s">
        <v>221</v>
      </c>
      <c r="L1" s="12" t="s">
        <v>3</v>
      </c>
      <c r="M1" s="90" t="s">
        <v>222</v>
      </c>
      <c r="N1" s="90" t="s">
        <v>223</v>
      </c>
      <c r="O1" s="70" t="s">
        <v>190</v>
      </c>
      <c r="P1" s="12" t="s">
        <v>4</v>
      </c>
      <c r="Q1" s="12"/>
      <c r="R1" s="71"/>
      <c r="S1" s="71"/>
      <c r="T1" s="71"/>
    </row>
    <row r="2" s="68" customFormat="true" ht="16.5" hidden="false" customHeight="true" outlineLevel="0" collapsed="false">
      <c r="A2" s="76" t="s">
        <v>177</v>
      </c>
      <c r="B2" s="79" t="n">
        <v>178</v>
      </c>
      <c r="C2" s="80" t="n">
        <v>11</v>
      </c>
      <c r="D2" s="38" t="n">
        <v>0.5625</v>
      </c>
      <c r="E2" s="77" t="n">
        <v>1</v>
      </c>
      <c r="F2" s="38" t="n">
        <v>0.64</v>
      </c>
      <c r="G2" s="91" t="n">
        <v>0.475</v>
      </c>
      <c r="H2" s="92" t="n">
        <v>0.977272727272727</v>
      </c>
      <c r="I2" s="59" t="n">
        <v>0.583333333333333</v>
      </c>
      <c r="J2" s="77" t="n">
        <v>1</v>
      </c>
      <c r="K2" s="77" t="n">
        <v>1</v>
      </c>
      <c r="L2" s="38" t="n">
        <f aca="false">SUM(D2:K2)-MIN(D2:K2)</f>
        <v>5.76310606060606</v>
      </c>
      <c r="M2" s="38"/>
      <c r="N2" s="38"/>
      <c r="O2" s="38" t="n">
        <f aca="false">SUM(L2:N2)</f>
        <v>5.76310606060606</v>
      </c>
      <c r="P2" s="75" t="s">
        <v>103</v>
      </c>
    </row>
    <row r="3" customFormat="false" ht="16.5" hidden="false" customHeight="true" outlineLevel="0" collapsed="false">
      <c r="A3" s="76" t="s">
        <v>193</v>
      </c>
      <c r="B3" s="73" t="s">
        <v>6</v>
      </c>
      <c r="C3" s="74" t="n">
        <v>11</v>
      </c>
      <c r="D3" s="38" t="n">
        <v>0.425</v>
      </c>
      <c r="E3" s="77" t="n">
        <v>1</v>
      </c>
      <c r="F3" s="38" t="n">
        <v>0.48</v>
      </c>
      <c r="G3" s="91" t="n">
        <v>0.275</v>
      </c>
      <c r="H3" s="59" t="n">
        <v>0.310606060606061</v>
      </c>
      <c r="I3" s="38" t="n">
        <v>0.527777777777778</v>
      </c>
      <c r="J3" s="92" t="n">
        <v>0.861111111111111</v>
      </c>
      <c r="K3" s="92" t="n">
        <v>0.8</v>
      </c>
      <c r="L3" s="38" t="n">
        <f aca="false">SUM(D3:K3)-MIN(D3:K3)</f>
        <v>4.40449494949495</v>
      </c>
      <c r="M3" s="61"/>
      <c r="N3" s="61"/>
      <c r="O3" s="38" t="n">
        <f aca="false">SUM(L3:N3)</f>
        <v>4.40449494949495</v>
      </c>
      <c r="P3" s="75" t="s">
        <v>103</v>
      </c>
    </row>
    <row r="4" s="68" customFormat="true" ht="16.5" hidden="false" customHeight="true" outlineLevel="0" collapsed="false">
      <c r="A4" s="72" t="s">
        <v>161</v>
      </c>
      <c r="B4" s="73" t="n">
        <v>145</v>
      </c>
      <c r="C4" s="74" t="n">
        <v>11</v>
      </c>
      <c r="D4" s="38" t="n">
        <v>0.4375</v>
      </c>
      <c r="E4" s="77" t="n">
        <v>1</v>
      </c>
      <c r="F4" s="38" t="n">
        <v>0.56</v>
      </c>
      <c r="G4" s="59" t="n">
        <v>0.4</v>
      </c>
      <c r="H4" s="91" t="n">
        <v>0.121212121212121</v>
      </c>
      <c r="I4" s="93" t="n">
        <v>0.75</v>
      </c>
      <c r="J4" s="93" t="n">
        <v>0.888888888888889</v>
      </c>
      <c r="K4" s="38" t="n">
        <v>0.34</v>
      </c>
      <c r="L4" s="38" t="n">
        <f aca="false">SUM(D4:K4)-MIN(D4:K4)</f>
        <v>4.37638888888889</v>
      </c>
      <c r="M4" s="38"/>
      <c r="N4" s="38"/>
      <c r="O4" s="38" t="n">
        <f aca="false">SUM(L4:N4)</f>
        <v>4.37638888888889</v>
      </c>
      <c r="P4" s="75" t="s">
        <v>103</v>
      </c>
    </row>
    <row r="5" s="82" customFormat="true" ht="16.5" hidden="false" customHeight="true" outlineLevel="0" collapsed="false">
      <c r="A5" s="84" t="s">
        <v>224</v>
      </c>
      <c r="B5" s="73" t="n">
        <v>171</v>
      </c>
      <c r="C5" s="74" t="n">
        <v>11</v>
      </c>
      <c r="D5" s="38" t="n">
        <v>0.4</v>
      </c>
      <c r="E5" s="77" t="n">
        <v>1</v>
      </c>
      <c r="F5" s="38" t="n">
        <v>0.4</v>
      </c>
      <c r="G5" s="91" t="n">
        <v>0.05</v>
      </c>
      <c r="H5" s="92" t="n">
        <v>0.893939393939394</v>
      </c>
      <c r="I5" s="59" t="n">
        <v>0.0833333333333333</v>
      </c>
      <c r="J5" s="38" t="n">
        <v>0.222222222222222</v>
      </c>
      <c r="K5" s="92" t="n">
        <v>0.86</v>
      </c>
      <c r="L5" s="38" t="n">
        <f aca="false">SUM(D5:K5)-MIN(D5:K5)</f>
        <v>3.85949494949495</v>
      </c>
      <c r="M5" s="92" t="n">
        <v>0.8</v>
      </c>
      <c r="N5" s="38" t="n">
        <v>0.625</v>
      </c>
      <c r="O5" s="38" t="n">
        <f aca="false">SUM(L5:N5)</f>
        <v>5.28449494949495</v>
      </c>
      <c r="P5" s="75" t="s">
        <v>103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</row>
    <row r="6" customFormat="false" ht="16.5" hidden="false" customHeight="true" outlineLevel="0" collapsed="false">
      <c r="A6" s="84" t="s">
        <v>225</v>
      </c>
      <c r="B6" s="73" t="n">
        <v>171</v>
      </c>
      <c r="C6" s="74" t="n">
        <v>10</v>
      </c>
      <c r="D6" s="38" t="n">
        <v>0.7</v>
      </c>
      <c r="E6" s="77" t="n">
        <v>1</v>
      </c>
      <c r="F6" s="38" t="n">
        <v>0.38</v>
      </c>
      <c r="G6" s="91" t="n">
        <v>0.025</v>
      </c>
      <c r="H6" s="38" t="n">
        <v>0.242424242424242</v>
      </c>
      <c r="I6" s="59" t="n">
        <v>0.0555555555555556</v>
      </c>
      <c r="J6" s="38" t="n">
        <v>0.25</v>
      </c>
      <c r="K6" s="77" t="n">
        <v>1</v>
      </c>
      <c r="L6" s="38" t="n">
        <f aca="false">SUM(D6:K6)-MIN(D6:K6)</f>
        <v>3.6279797979798</v>
      </c>
      <c r="M6" s="38" t="n">
        <v>0.666666666666667</v>
      </c>
      <c r="N6" s="38" t="n">
        <v>0.4</v>
      </c>
      <c r="O6" s="38" t="n">
        <f aca="false">SUM(L6:N6)</f>
        <v>4.69464646464647</v>
      </c>
      <c r="P6" s="75" t="s">
        <v>103</v>
      </c>
    </row>
    <row r="7" customFormat="false" ht="16.5" hidden="false" customHeight="true" outlineLevel="0" collapsed="false">
      <c r="A7" s="79" t="s">
        <v>197</v>
      </c>
      <c r="B7" s="73" t="s">
        <v>6</v>
      </c>
      <c r="C7" s="74" t="n">
        <v>11</v>
      </c>
      <c r="D7" s="38" t="n">
        <v>0.625</v>
      </c>
      <c r="E7" s="38" t="n">
        <v>0.654545454545455</v>
      </c>
      <c r="F7" s="38" t="n">
        <v>0.32</v>
      </c>
      <c r="G7" s="59" t="n">
        <v>0.1</v>
      </c>
      <c r="H7" s="38" t="n">
        <v>0.204545454545455</v>
      </c>
      <c r="I7" s="59" t="n">
        <v>0.361111111111111</v>
      </c>
      <c r="J7" s="38" t="n">
        <v>0.388888888888889</v>
      </c>
      <c r="K7" s="94" t="n">
        <v>0.04</v>
      </c>
      <c r="L7" s="38" t="n">
        <f aca="false">SUM(D7:K7)-MIN(D7:K7)</f>
        <v>2.65409090909091</v>
      </c>
      <c r="M7" s="38" t="n">
        <v>0.65</v>
      </c>
      <c r="N7" s="38" t="n">
        <v>0.6</v>
      </c>
      <c r="O7" s="38" t="n">
        <f aca="false">SUM(L7:N7)</f>
        <v>3.90409090909091</v>
      </c>
      <c r="P7" s="95" t="s">
        <v>226</v>
      </c>
    </row>
    <row r="8" s="68" customFormat="true" ht="16.5" hidden="false" customHeight="true" outlineLevel="0" collapsed="false">
      <c r="A8" s="72" t="s">
        <v>227</v>
      </c>
      <c r="B8" s="73" t="n">
        <v>171</v>
      </c>
      <c r="C8" s="74" t="n">
        <v>11</v>
      </c>
      <c r="D8" s="38" t="n">
        <v>0.55</v>
      </c>
      <c r="E8" s="38" t="n">
        <v>0.545454545454546</v>
      </c>
      <c r="F8" s="38" t="n">
        <v>0.32</v>
      </c>
      <c r="G8" s="59" t="n">
        <v>0.25</v>
      </c>
      <c r="H8" s="38" t="n">
        <v>0.143939393939394</v>
      </c>
      <c r="I8" s="59" t="n">
        <v>0.222222222222222</v>
      </c>
      <c r="J8" s="38" t="n">
        <v>0.222222222222222</v>
      </c>
      <c r="K8" s="94" t="n">
        <v>0.08</v>
      </c>
      <c r="L8" s="38" t="n">
        <f aca="false">SUM(D8:K8)-MIN(D8:K8)</f>
        <v>2.25383838383838</v>
      </c>
      <c r="M8" s="92" t="n">
        <v>0.833333333333333</v>
      </c>
      <c r="N8" s="38" t="n">
        <v>0.725</v>
      </c>
      <c r="O8" s="38" t="n">
        <f aca="false">SUM(L8:N8)</f>
        <v>3.81217171717172</v>
      </c>
      <c r="P8" s="95" t="s">
        <v>226</v>
      </c>
    </row>
    <row r="9" customFormat="false" ht="16.5" hidden="false" customHeight="true" outlineLevel="0" collapsed="false">
      <c r="A9" s="84" t="s">
        <v>209</v>
      </c>
      <c r="B9" s="73" t="n">
        <v>171</v>
      </c>
      <c r="C9" s="74" t="n">
        <v>10</v>
      </c>
      <c r="D9" s="94" t="n">
        <v>0.1125</v>
      </c>
      <c r="E9" s="38" t="n">
        <v>0.6</v>
      </c>
      <c r="F9" s="38" t="n">
        <v>0.34</v>
      </c>
      <c r="G9" s="59" t="n">
        <v>0.175</v>
      </c>
      <c r="H9" s="38" t="n">
        <v>0.121212121212121</v>
      </c>
      <c r="I9" s="59" t="n">
        <v>0.277777777777778</v>
      </c>
      <c r="J9" s="38" t="n">
        <v>0.222222222222222</v>
      </c>
      <c r="K9" s="38" t="n">
        <v>0.16</v>
      </c>
      <c r="L9" s="38" t="n">
        <f aca="false">SUM(D9:K9)-MIN(D9:K9)</f>
        <v>1.89621212121212</v>
      </c>
      <c r="M9" s="38" t="n">
        <v>0.35</v>
      </c>
      <c r="N9" s="38" t="n">
        <v>0.675</v>
      </c>
      <c r="O9" s="38" t="n">
        <f aca="false">SUM(L9:N9)</f>
        <v>2.92121212121212</v>
      </c>
      <c r="P9" s="95" t="s">
        <v>226</v>
      </c>
    </row>
    <row r="10" customFormat="false" ht="16.5" hidden="false" customHeight="true" outlineLevel="0" collapsed="false">
      <c r="A10" s="84" t="s">
        <v>194</v>
      </c>
      <c r="B10" s="73" t="n">
        <v>171</v>
      </c>
      <c r="C10" s="74" t="n">
        <v>9</v>
      </c>
      <c r="D10" s="96" t="n">
        <v>0</v>
      </c>
      <c r="E10" s="38" t="n">
        <v>0.6</v>
      </c>
      <c r="F10" s="38" t="n">
        <v>0.38</v>
      </c>
      <c r="G10" s="59" t="n">
        <v>0.075</v>
      </c>
      <c r="H10" s="38" t="n">
        <v>0.181818181818182</v>
      </c>
      <c r="I10" s="59" t="n">
        <v>0.0555555555555556</v>
      </c>
      <c r="J10" s="38" t="n">
        <v>0.138888888888889</v>
      </c>
      <c r="K10" s="38" t="n">
        <v>0.3</v>
      </c>
      <c r="L10" s="38" t="n">
        <f aca="false">SUM(D10:K10)-MIN(D10:K10)</f>
        <v>1.73126262626263</v>
      </c>
      <c r="M10" s="38" t="n">
        <v>0.516666666666667</v>
      </c>
      <c r="N10" s="38" t="n">
        <v>0.525</v>
      </c>
      <c r="O10" s="38" t="n">
        <f aca="false">SUM(L10:N10)</f>
        <v>2.77292929292929</v>
      </c>
      <c r="P10" s="75" t="s">
        <v>103</v>
      </c>
    </row>
    <row r="11" customFormat="false" ht="16.5" hidden="false" customHeight="true" outlineLevel="0" collapsed="false">
      <c r="A11" s="76" t="s">
        <v>179</v>
      </c>
      <c r="B11" s="79" t="n">
        <v>145</v>
      </c>
      <c r="C11" s="80" t="n">
        <v>11</v>
      </c>
      <c r="D11" s="38" t="n">
        <v>0.225</v>
      </c>
      <c r="E11" s="38" t="n">
        <v>0.2</v>
      </c>
      <c r="F11" s="38" t="n">
        <v>0.34</v>
      </c>
      <c r="G11" s="96" t="n">
        <v>0</v>
      </c>
      <c r="H11" s="59" t="n">
        <v>0.340909090909091</v>
      </c>
      <c r="I11" s="59" t="n">
        <v>0.166666666666667</v>
      </c>
      <c r="J11" s="59" t="n">
        <v>0.222222222222222</v>
      </c>
      <c r="K11" s="38" t="n">
        <v>0.04</v>
      </c>
      <c r="L11" s="38" t="n">
        <f aca="false">SUM(D11:K11)-MIN(D11:K11)</f>
        <v>1.53479797979798</v>
      </c>
      <c r="M11" s="38" t="n">
        <v>0.666666666666667</v>
      </c>
      <c r="N11" s="38" t="n">
        <v>0.55</v>
      </c>
      <c r="O11" s="38" t="n">
        <f aca="false">SUM(L11:N11)</f>
        <v>2.75146464646465</v>
      </c>
      <c r="P11" s="95" t="s">
        <v>226</v>
      </c>
    </row>
    <row r="12" customFormat="false" ht="16.5" hidden="false" customHeight="true" outlineLevel="0" collapsed="false">
      <c r="A12" s="79" t="s">
        <v>202</v>
      </c>
      <c r="B12" s="73" t="s">
        <v>6</v>
      </c>
      <c r="C12" s="74" t="n">
        <v>10</v>
      </c>
      <c r="D12" s="38" t="n">
        <v>0.0375</v>
      </c>
      <c r="E12" s="38" t="n">
        <v>0.218181818181818</v>
      </c>
      <c r="F12" s="38" t="n">
        <v>0.4</v>
      </c>
      <c r="G12" s="59" t="n">
        <v>0.2</v>
      </c>
      <c r="H12" s="38" t="n">
        <v>0.181818181818182</v>
      </c>
      <c r="I12" s="59" t="n">
        <v>0.0555555555555556</v>
      </c>
      <c r="J12" s="59" t="n">
        <v>0.194444444444444</v>
      </c>
      <c r="K12" s="38" t="n">
        <v>0.12</v>
      </c>
      <c r="L12" s="38" t="n">
        <f aca="false">SUM(D12:K12)-MIN(D12:K12)</f>
        <v>1.37</v>
      </c>
      <c r="M12" s="97" t="n">
        <v>0.333333333333333</v>
      </c>
      <c r="N12" s="97" t="n">
        <v>0</v>
      </c>
      <c r="O12" s="38" t="n">
        <f aca="false">SUM(L12:N12)</f>
        <v>1.70333333333333</v>
      </c>
      <c r="P12" s="95" t="s">
        <v>226</v>
      </c>
    </row>
    <row r="13" s="68" customFormat="true" ht="16.5" hidden="false" customHeight="true" outlineLevel="0" collapsed="false">
      <c r="A13" s="84" t="s">
        <v>204</v>
      </c>
      <c r="B13" s="73" t="n">
        <v>145</v>
      </c>
      <c r="C13" s="74" t="n">
        <v>11</v>
      </c>
      <c r="D13" s="38" t="n">
        <v>0.225</v>
      </c>
      <c r="E13" s="38" t="n">
        <v>0.109090909090909</v>
      </c>
      <c r="F13" s="38" t="n">
        <v>0.22</v>
      </c>
      <c r="G13" s="59" t="n">
        <v>0.225</v>
      </c>
      <c r="H13" s="59" t="n">
        <v>0.257575757575758</v>
      </c>
      <c r="I13" s="61" t="n">
        <v>0</v>
      </c>
      <c r="J13" s="38" t="n">
        <v>0.222222222222222</v>
      </c>
      <c r="K13" s="61" t="n">
        <v>0</v>
      </c>
      <c r="L13" s="38" t="n">
        <f aca="false">SUM(D13:K13)-MIN(D13:K13)</f>
        <v>1.25888888888889</v>
      </c>
      <c r="M13" s="98"/>
      <c r="N13" s="98"/>
      <c r="O13" s="38" t="n">
        <f aca="false">SUM(L13:N13)</f>
        <v>1.25888888888889</v>
      </c>
      <c r="P13" s="95" t="s">
        <v>226</v>
      </c>
    </row>
    <row r="14" customFormat="false" ht="16.5" hidden="false" customHeight="true" outlineLevel="0" collapsed="false">
      <c r="A14" s="84" t="s">
        <v>228</v>
      </c>
      <c r="B14" s="73" t="s">
        <v>6</v>
      </c>
      <c r="C14" s="74" t="n">
        <v>10</v>
      </c>
      <c r="D14" s="61" t="n">
        <v>0</v>
      </c>
      <c r="E14" s="61" t="n">
        <v>0</v>
      </c>
      <c r="F14" s="38" t="n">
        <v>0.32</v>
      </c>
      <c r="G14" s="59" t="n">
        <v>0.125</v>
      </c>
      <c r="H14" s="38" t="n">
        <v>0.121212121212121</v>
      </c>
      <c r="I14" s="59" t="n">
        <v>0.0555555555555556</v>
      </c>
      <c r="J14" s="38" t="n">
        <v>0.388888888888889</v>
      </c>
      <c r="K14" s="38" t="n">
        <v>0.12</v>
      </c>
      <c r="L14" s="38" t="n">
        <f aca="false">SUM(D14:K14)-MIN(D14:K14)</f>
        <v>1.13065656565657</v>
      </c>
      <c r="M14" s="97" t="n">
        <v>0.333333333333333</v>
      </c>
      <c r="N14" s="97"/>
      <c r="O14" s="38" t="n">
        <f aca="false">SUM(L14:N14)</f>
        <v>1.4639898989899</v>
      </c>
      <c r="P14" s="95" t="s">
        <v>226</v>
      </c>
    </row>
    <row r="15" s="68" customFormat="true" ht="15.75" hidden="false" customHeight="true" outlineLevel="0" collapsed="false">
      <c r="A15" s="79" t="s">
        <v>229</v>
      </c>
      <c r="B15" s="73" t="n">
        <v>171</v>
      </c>
      <c r="C15" s="80" t="n">
        <v>10</v>
      </c>
      <c r="D15" s="61" t="n">
        <v>0</v>
      </c>
      <c r="E15" s="38" t="n">
        <v>0.254545454545454</v>
      </c>
      <c r="F15" s="38" t="n">
        <v>0.38</v>
      </c>
      <c r="G15" s="59" t="n">
        <v>0.1</v>
      </c>
      <c r="H15" s="61" t="n">
        <v>0</v>
      </c>
      <c r="I15" s="59" t="n">
        <v>0.0555555555555556</v>
      </c>
      <c r="J15" s="61" t="n">
        <v>0</v>
      </c>
      <c r="K15" s="38" t="n">
        <v>0.3</v>
      </c>
      <c r="L15" s="38" t="n">
        <f aca="false">SUM(D15:K15)-MIN(D15:K15)</f>
        <v>1.09010101010101</v>
      </c>
      <c r="M15" s="97" t="n">
        <v>0.683333333333333</v>
      </c>
      <c r="N15" s="97" t="n">
        <v>0.6</v>
      </c>
      <c r="O15" s="38" t="n">
        <f aca="false">SUM(L15:N15)</f>
        <v>2.37343434343434</v>
      </c>
      <c r="P15" s="95" t="s">
        <v>226</v>
      </c>
    </row>
    <row r="16" s="68" customFormat="true" ht="16.5" hidden="false" customHeight="true" outlineLevel="0" collapsed="false">
      <c r="A16" s="72" t="s">
        <v>210</v>
      </c>
      <c r="B16" s="73" t="n">
        <v>171</v>
      </c>
      <c r="C16" s="74" t="n">
        <v>11</v>
      </c>
      <c r="D16" s="61" t="n">
        <v>0</v>
      </c>
      <c r="E16" s="38" t="n">
        <v>0.6</v>
      </c>
      <c r="F16" s="38" t="n">
        <v>0.34</v>
      </c>
      <c r="G16" s="61" t="n">
        <v>0</v>
      </c>
      <c r="H16" s="99" t="n">
        <v>0</v>
      </c>
      <c r="I16" s="59" t="n">
        <v>0.0555555555555556</v>
      </c>
      <c r="J16" s="99" t="n">
        <v>0</v>
      </c>
      <c r="K16" s="99" t="n">
        <v>0</v>
      </c>
      <c r="L16" s="38" t="n">
        <f aca="false">SUM(D16:K16)-MIN(D16:K16)</f>
        <v>0.995555555555556</v>
      </c>
      <c r="M16" s="97"/>
      <c r="N16" s="97"/>
      <c r="O16" s="38" t="n">
        <f aca="false">SUM(L16:N16)</f>
        <v>0.995555555555556</v>
      </c>
      <c r="P16" s="95" t="s">
        <v>226</v>
      </c>
    </row>
    <row r="17" customFormat="false" ht="16.5" hidden="false" customHeight="true" outlineLevel="0" collapsed="false">
      <c r="A17" s="84" t="s">
        <v>230</v>
      </c>
      <c r="B17" s="73" t="n">
        <v>171</v>
      </c>
      <c r="C17" s="74" t="n">
        <v>9</v>
      </c>
      <c r="D17" s="61" t="n">
        <v>0</v>
      </c>
      <c r="E17" s="38" t="n">
        <v>0.6</v>
      </c>
      <c r="F17" s="99" t="n">
        <v>0</v>
      </c>
      <c r="G17" s="99" t="n">
        <v>0</v>
      </c>
      <c r="H17" s="99" t="n">
        <v>0</v>
      </c>
      <c r="I17" s="99" t="n">
        <v>0</v>
      </c>
      <c r="J17" s="99" t="n">
        <v>0</v>
      </c>
      <c r="K17" s="99" t="n">
        <v>0</v>
      </c>
      <c r="L17" s="38" t="n">
        <f aca="false">SUM(D17:K17)-MIN(D17:K17)</f>
        <v>0.6</v>
      </c>
      <c r="M17" s="97"/>
      <c r="N17" s="97"/>
      <c r="O17" s="38" t="n">
        <f aca="false">SUM(L17:N17)</f>
        <v>0.6</v>
      </c>
      <c r="P17" s="95" t="s">
        <v>226</v>
      </c>
    </row>
    <row r="18" customFormat="false" ht="16.5" hidden="false" customHeight="true" outlineLevel="0" collapsed="false">
      <c r="A18" s="84" t="s">
        <v>231</v>
      </c>
      <c r="B18" s="73" t="n">
        <v>171</v>
      </c>
      <c r="C18" s="74" t="n">
        <v>10</v>
      </c>
      <c r="D18" s="61" t="n">
        <v>0</v>
      </c>
      <c r="E18" s="38" t="n">
        <v>0.0909090909090909</v>
      </c>
      <c r="F18" s="61" t="n">
        <v>0</v>
      </c>
      <c r="G18" s="99" t="n">
        <v>0</v>
      </c>
      <c r="H18" s="99" t="n">
        <v>0</v>
      </c>
      <c r="I18" s="99" t="n">
        <v>0</v>
      </c>
      <c r="J18" s="99" t="n">
        <v>0</v>
      </c>
      <c r="K18" s="99" t="n">
        <v>0</v>
      </c>
      <c r="L18" s="38" t="n">
        <f aca="false">SUM(D18:K18)-MIN(D18:K18)</f>
        <v>0.0909090909090909</v>
      </c>
      <c r="M18" s="97"/>
      <c r="N18" s="97"/>
      <c r="O18" s="38" t="n">
        <f aca="false">SUM(L18:N18)</f>
        <v>0.0909090909090909</v>
      </c>
      <c r="P18" s="95" t="s">
        <v>226</v>
      </c>
    </row>
    <row r="19" customFormat="false" ht="16.5" hidden="false" customHeight="true" outlineLevel="0" collapsed="false">
      <c r="A19" s="100"/>
      <c r="B19" s="101"/>
      <c r="C19" s="102"/>
      <c r="D19" s="103"/>
      <c r="E19" s="103"/>
      <c r="F19" s="104"/>
      <c r="G19" s="105"/>
      <c r="H19" s="104"/>
      <c r="I19" s="103"/>
      <c r="J19" s="104"/>
      <c r="K19" s="103"/>
      <c r="L19" s="104"/>
      <c r="M19" s="104"/>
      <c r="N19" s="104"/>
      <c r="O19" s="104"/>
      <c r="P19" s="106"/>
    </row>
    <row r="20" customFormat="false" ht="15.75" hidden="false" customHeight="false" outlineLevel="0" collapsed="false">
      <c r="A20" s="21" t="s">
        <v>232</v>
      </c>
      <c r="O20" s="24"/>
      <c r="P20" s="68"/>
    </row>
    <row r="21" customFormat="false" ht="15.75" hidden="false" customHeight="false" outlineLevel="0" collapsed="false">
      <c r="A21" s="21" t="s">
        <v>233</v>
      </c>
      <c r="O21" s="24"/>
      <c r="P21" s="68"/>
    </row>
    <row r="22" customFormat="false" ht="15.75" hidden="false" customHeight="false" outlineLevel="0" collapsed="false">
      <c r="A22" s="21" t="s">
        <v>234</v>
      </c>
      <c r="O22" s="24"/>
      <c r="P22" s="68"/>
    </row>
    <row r="23" customFormat="false" ht="15.75" hidden="false" customHeight="false" outlineLevel="0" collapsed="false">
      <c r="A23" s="21" t="s">
        <v>235</v>
      </c>
      <c r="O23" s="24"/>
      <c r="P23" s="68"/>
    </row>
    <row r="24" customFormat="false" ht="15.75" hidden="false" customHeight="false" outlineLevel="0" collapsed="false">
      <c r="A24" s="10" t="s">
        <v>236</v>
      </c>
      <c r="M24" s="22" t="s">
        <v>237</v>
      </c>
      <c r="O24" s="24"/>
      <c r="P24" s="68"/>
    </row>
  </sheetData>
  <printOptions headings="false" gridLines="false" gridLinesSet="true" horizontalCentered="true" verticalCentered="true"/>
  <pageMargins left="0.7875" right="0.7875" top="1.77152777777778" bottom="0.590277777777778" header="0.708333333333333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Roman,Звичайний"&amp;16Результати відбірково-тренувальних зборів команди міста Києва 
до IV етапу Всеукраїнської учнівської олімпіади з інформатики 2007 року</oddHeader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R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ColWidth="9.15625" defaultRowHeight="16.5" zeroHeight="false" outlineLevelRow="0" outlineLevelCol="0"/>
  <cols>
    <col collapsed="false" customWidth="true" hidden="false" outlineLevel="0" max="1" min="1" style="10" width="35.42"/>
    <col collapsed="false" customWidth="true" hidden="false" outlineLevel="0" max="2" min="2" style="22" width="3.86"/>
    <col collapsed="false" customWidth="true" hidden="false" outlineLevel="0" max="3" min="3" style="22" width="3.42"/>
    <col collapsed="false" customWidth="true" hidden="false" outlineLevel="0" max="6" min="4" style="23" width="6.71"/>
    <col collapsed="false" customWidth="true" hidden="false" outlineLevel="0" max="9" min="7" style="11" width="6.71"/>
    <col collapsed="false" customWidth="true" hidden="false" outlineLevel="0" max="10" min="10" style="11" width="7.29"/>
    <col collapsed="false" customWidth="true" hidden="false" outlineLevel="0" max="11" min="11" style="11" width="7.86"/>
    <col collapsed="false" customWidth="true" hidden="false" outlineLevel="0" max="15" min="12" style="22" width="6.71"/>
    <col collapsed="false" customWidth="true" hidden="false" outlineLevel="0" max="16" min="16" style="24" width="9.42"/>
    <col collapsed="false" customWidth="true" hidden="false" outlineLevel="0" max="17" min="17" style="68" width="10.42"/>
    <col collapsed="false" customWidth="false" hidden="false" outlineLevel="0" max="20" min="18" style="68" width="9.14"/>
    <col collapsed="false" customWidth="false" hidden="false" outlineLevel="0" max="1024" min="21" style="10" width="9.14"/>
  </cols>
  <sheetData>
    <row r="1" s="112" customFormat="true" ht="37.5" hidden="false" customHeight="true" outlineLevel="0" collapsed="false">
      <c r="A1" s="107" t="s">
        <v>119</v>
      </c>
      <c r="B1" s="108" t="s">
        <v>2</v>
      </c>
      <c r="C1" s="108" t="s">
        <v>1</v>
      </c>
      <c r="D1" s="109" t="s">
        <v>238</v>
      </c>
      <c r="E1" s="109" t="s">
        <v>239</v>
      </c>
      <c r="F1" s="109" t="s">
        <v>240</v>
      </c>
      <c r="G1" s="109" t="s">
        <v>241</v>
      </c>
      <c r="H1" s="110" t="s">
        <v>218</v>
      </c>
      <c r="I1" s="110" t="s">
        <v>242</v>
      </c>
      <c r="J1" s="110" t="s">
        <v>243</v>
      </c>
      <c r="K1" s="110" t="s">
        <v>244</v>
      </c>
      <c r="L1" s="107" t="s">
        <v>3</v>
      </c>
      <c r="M1" s="111" t="s">
        <v>245</v>
      </c>
      <c r="N1" s="111" t="s">
        <v>246</v>
      </c>
      <c r="O1" s="70" t="s">
        <v>190</v>
      </c>
      <c r="P1" s="107" t="s">
        <v>4</v>
      </c>
      <c r="R1" s="113"/>
      <c r="S1" s="113"/>
      <c r="T1" s="113"/>
    </row>
    <row r="2" customFormat="false" ht="16.5" hidden="false" customHeight="true" outlineLevel="0" collapsed="false">
      <c r="A2" s="76" t="s">
        <v>247</v>
      </c>
      <c r="B2" s="73" t="n">
        <v>171</v>
      </c>
      <c r="C2" s="114" t="n">
        <v>11</v>
      </c>
      <c r="D2" s="92" t="n">
        <v>0.927272727272727</v>
      </c>
      <c r="E2" s="92" t="n">
        <v>0.84</v>
      </c>
      <c r="F2" s="38" t="n">
        <v>0.483333333333333</v>
      </c>
      <c r="G2" s="61" t="n">
        <v>0</v>
      </c>
      <c r="H2" s="38" t="n">
        <v>0.303030303030303</v>
      </c>
      <c r="I2" s="59" t="n">
        <v>0.166666666666667</v>
      </c>
      <c r="J2" s="59" t="n">
        <v>0.379392857142857</v>
      </c>
      <c r="K2" s="38" t="n">
        <v>0.436666666666667</v>
      </c>
      <c r="L2" s="38" t="n">
        <f aca="false">SUM(D2:K2)-MIN(D2:K2)</f>
        <v>3.53636255411255</v>
      </c>
      <c r="M2" s="38" t="n">
        <v>0.658333333333333</v>
      </c>
      <c r="N2" s="38" t="n">
        <v>0.333333333333333</v>
      </c>
      <c r="O2" s="38" t="n">
        <f aca="false">SUM(L2:N2)</f>
        <v>4.52802922077922</v>
      </c>
      <c r="P2" s="115" t="s">
        <v>103</v>
      </c>
    </row>
    <row r="3" customFormat="false" ht="16.5" hidden="false" customHeight="true" outlineLevel="0" collapsed="false">
      <c r="A3" s="76" t="s">
        <v>248</v>
      </c>
      <c r="B3" s="73" t="n">
        <v>171</v>
      </c>
      <c r="C3" s="114" t="n">
        <v>10</v>
      </c>
      <c r="D3" s="77" t="n">
        <v>1</v>
      </c>
      <c r="E3" s="38" t="n">
        <v>0.56</v>
      </c>
      <c r="F3" s="92" t="n">
        <v>0.866666666666667</v>
      </c>
      <c r="G3" s="59" t="n">
        <v>0.321428571428571</v>
      </c>
      <c r="H3" s="38" t="n">
        <v>0.325757575757576</v>
      </c>
      <c r="I3" s="59" t="n">
        <v>0.611111111111111</v>
      </c>
      <c r="J3" s="38" t="n">
        <v>0.357142857142857</v>
      </c>
      <c r="K3" s="38" t="n">
        <v>0.5</v>
      </c>
      <c r="L3" s="92" t="n">
        <f aca="false">SUM(D3:K3)-MIN(D3:K3)</f>
        <v>4.22067821067821</v>
      </c>
      <c r="M3" s="61" t="n">
        <v>0</v>
      </c>
      <c r="N3" s="61" t="n">
        <v>0</v>
      </c>
      <c r="O3" s="38" t="n">
        <f aca="false">SUM(L3:N3)</f>
        <v>4.22067821067821</v>
      </c>
      <c r="P3" s="115" t="s">
        <v>103</v>
      </c>
    </row>
    <row r="4" s="68" customFormat="true" ht="16.5" hidden="false" customHeight="true" outlineLevel="0" collapsed="false">
      <c r="A4" s="76" t="s">
        <v>249</v>
      </c>
      <c r="B4" s="73" t="n">
        <v>171</v>
      </c>
      <c r="C4" s="114" t="n">
        <v>11</v>
      </c>
      <c r="D4" s="38" t="n">
        <v>0.672727272727273</v>
      </c>
      <c r="E4" s="38" t="n">
        <v>0.04</v>
      </c>
      <c r="F4" s="38" t="n">
        <v>0.4</v>
      </c>
      <c r="G4" s="59" t="n">
        <v>0.107142857142857</v>
      </c>
      <c r="H4" s="59" t="n">
        <v>0.409090909090909</v>
      </c>
      <c r="I4" s="38" t="n">
        <v>0.388888888888889</v>
      </c>
      <c r="J4" s="38" t="n">
        <v>0.145428571428571</v>
      </c>
      <c r="K4" s="38" t="n">
        <v>0.41</v>
      </c>
      <c r="L4" s="38" t="n">
        <f aca="false">SUM(D4:K4)-MIN(D4:K4)</f>
        <v>2.5332784992785</v>
      </c>
      <c r="M4" s="38" t="n">
        <v>0.6</v>
      </c>
      <c r="N4" s="38" t="n">
        <v>0.62</v>
      </c>
      <c r="O4" s="38" t="n">
        <f aca="false">SUM(L4:N4)</f>
        <v>3.7532784992785</v>
      </c>
      <c r="P4" s="115" t="s">
        <v>103</v>
      </c>
    </row>
    <row r="5" customFormat="false" ht="16.5" hidden="false" customHeight="true" outlineLevel="0" collapsed="false">
      <c r="A5" s="76" t="s">
        <v>250</v>
      </c>
      <c r="B5" s="73" t="n">
        <v>171</v>
      </c>
      <c r="C5" s="114" t="n">
        <v>11</v>
      </c>
      <c r="D5" s="92" t="n">
        <v>0.781818181818182</v>
      </c>
      <c r="E5" s="38" t="n">
        <v>0.4</v>
      </c>
      <c r="F5" s="38" t="n">
        <v>0.1</v>
      </c>
      <c r="G5" s="59" t="n">
        <v>0.285714285714286</v>
      </c>
      <c r="H5" s="38" t="n">
        <v>0.151515151515152</v>
      </c>
      <c r="I5" s="59" t="n">
        <v>0.111111111111111</v>
      </c>
      <c r="J5" s="38" t="n">
        <v>0.142857142857143</v>
      </c>
      <c r="K5" s="38" t="n">
        <v>0.583333333333333</v>
      </c>
      <c r="L5" s="38" t="n">
        <f aca="false">SUM(D5:K5)-MIN(D5:K5)</f>
        <v>2.45634920634921</v>
      </c>
      <c r="M5" s="92" t="n">
        <v>0.833333333333333</v>
      </c>
      <c r="N5" s="38" t="n">
        <v>0.233333333333333</v>
      </c>
      <c r="O5" s="38" t="n">
        <f aca="false">SUM(L5:N5)</f>
        <v>3.52301587301587</v>
      </c>
      <c r="P5" s="115" t="s">
        <v>103</v>
      </c>
    </row>
    <row r="6" customFormat="false" ht="16.5" hidden="false" customHeight="true" outlineLevel="0" collapsed="false">
      <c r="A6" s="76" t="s">
        <v>229</v>
      </c>
      <c r="B6" s="73" t="n">
        <v>171</v>
      </c>
      <c r="C6" s="114" t="n">
        <v>11</v>
      </c>
      <c r="D6" s="38" t="n">
        <v>0.4</v>
      </c>
      <c r="E6" s="61" t="n">
        <v>0</v>
      </c>
      <c r="F6" s="38" t="n">
        <v>0.333333333333333</v>
      </c>
      <c r="G6" s="38" t="n">
        <v>0.214285714285714</v>
      </c>
      <c r="H6" s="59" t="n">
        <v>0.325757575757576</v>
      </c>
      <c r="I6" s="59" t="n">
        <v>0.222222222222222</v>
      </c>
      <c r="J6" s="59" t="n">
        <v>0.180964285714285</v>
      </c>
      <c r="K6" s="92" t="n">
        <v>0.7</v>
      </c>
      <c r="L6" s="38" t="n">
        <f aca="false">SUM(D6:K6)-MIN(D6:K6)</f>
        <v>2.37656313131313</v>
      </c>
      <c r="M6" s="38" t="n">
        <v>0.0916666666666667</v>
      </c>
      <c r="N6" s="38" t="n">
        <v>0.516666666666667</v>
      </c>
      <c r="O6" s="38" t="n">
        <f aca="false">SUM(L6:N6)</f>
        <v>2.98489646464646</v>
      </c>
      <c r="P6" s="115" t="s">
        <v>103</v>
      </c>
    </row>
    <row r="7" customFormat="false" ht="16.5" hidden="false" customHeight="true" outlineLevel="0" collapsed="false">
      <c r="A7" s="76" t="s">
        <v>251</v>
      </c>
      <c r="B7" s="73" t="n">
        <v>171</v>
      </c>
      <c r="C7" s="114" t="n">
        <v>10</v>
      </c>
      <c r="D7" s="38" t="n">
        <v>0.327272727272727</v>
      </c>
      <c r="E7" s="38" t="n">
        <v>0.32</v>
      </c>
      <c r="F7" s="38" t="n">
        <v>0.483333333333333</v>
      </c>
      <c r="G7" s="59" t="n">
        <v>0.25</v>
      </c>
      <c r="H7" s="38" t="n">
        <v>0.310606060606061</v>
      </c>
      <c r="I7" s="59" t="n">
        <v>0.0833333333333333</v>
      </c>
      <c r="J7" s="38" t="n">
        <v>0.357142857142857</v>
      </c>
      <c r="K7" s="38" t="n">
        <v>0.39</v>
      </c>
      <c r="L7" s="38" t="n">
        <f aca="false">SUM(D7:K7)-MIN(D7:K7)</f>
        <v>2.43835497835498</v>
      </c>
      <c r="M7" s="38" t="n">
        <v>0.108333333333333</v>
      </c>
      <c r="N7" s="38" t="n">
        <v>0.133333333333333</v>
      </c>
      <c r="O7" s="38" t="n">
        <f aca="false">SUM(L7:N7)</f>
        <v>2.68002164502164</v>
      </c>
      <c r="P7" s="115" t="s">
        <v>103</v>
      </c>
    </row>
    <row r="8" s="68" customFormat="true" ht="16.5" hidden="false" customHeight="true" outlineLevel="0" collapsed="false">
      <c r="A8" s="76" t="s">
        <v>252</v>
      </c>
      <c r="B8" s="73" t="n">
        <v>171</v>
      </c>
      <c r="C8" s="114" t="n">
        <v>11</v>
      </c>
      <c r="D8" s="38" t="n">
        <v>0.4</v>
      </c>
      <c r="E8" s="38" t="n">
        <v>0.26</v>
      </c>
      <c r="F8" s="38" t="n">
        <v>0.0666666666666667</v>
      </c>
      <c r="G8" s="38" t="n">
        <v>0.178571428571429</v>
      </c>
      <c r="H8" s="38" t="n">
        <v>0.303030303030303</v>
      </c>
      <c r="I8" s="59" t="n">
        <v>0.138888888888889</v>
      </c>
      <c r="J8" s="38" t="n">
        <v>0.357142857142857</v>
      </c>
      <c r="K8" s="38" t="n">
        <v>0.39</v>
      </c>
      <c r="L8" s="38" t="n">
        <f aca="false">SUM(D8:K8)-MIN(D8:K8)</f>
        <v>2.02763347763348</v>
      </c>
      <c r="M8" s="38" t="n">
        <v>0.3</v>
      </c>
      <c r="N8" s="38" t="n">
        <v>0.333333333333333</v>
      </c>
      <c r="O8" s="38" t="n">
        <f aca="false">SUM(L8:N8)</f>
        <v>2.66096681096681</v>
      </c>
      <c r="P8" s="115" t="s">
        <v>103</v>
      </c>
    </row>
    <row r="9" s="82" customFormat="true" ht="16.5" hidden="false" customHeight="true" outlineLevel="0" collapsed="false">
      <c r="A9" s="76" t="s">
        <v>253</v>
      </c>
      <c r="B9" s="73" t="n">
        <v>171</v>
      </c>
      <c r="C9" s="114" t="n">
        <v>10</v>
      </c>
      <c r="D9" s="61" t="n">
        <v>0</v>
      </c>
      <c r="E9" s="38" t="n">
        <v>0.11</v>
      </c>
      <c r="F9" s="38" t="n">
        <v>0.5</v>
      </c>
      <c r="G9" s="59" t="n">
        <v>0.214285714285714</v>
      </c>
      <c r="H9" s="38" t="n">
        <v>0.121212121212121</v>
      </c>
      <c r="I9" s="59" t="n">
        <v>0.277777777777778</v>
      </c>
      <c r="J9" s="38" t="n">
        <v>0.178571428571429</v>
      </c>
      <c r="K9" s="38" t="n">
        <v>0.406666666666667</v>
      </c>
      <c r="L9" s="38" t="n">
        <f aca="false">SUM(D9:K9)-MIN(D9:K9)</f>
        <v>1.80851370851371</v>
      </c>
      <c r="M9" s="38" t="n">
        <v>0.25</v>
      </c>
      <c r="N9" s="38" t="n">
        <v>0.473333333333333</v>
      </c>
      <c r="O9" s="38" t="n">
        <f aca="false">SUM(L9:N9)</f>
        <v>2.53184704184704</v>
      </c>
      <c r="P9" s="115" t="s">
        <v>103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</row>
    <row r="10" customFormat="false" ht="16.5" hidden="false" customHeight="true" outlineLevel="0" collapsed="false">
      <c r="A10" s="76" t="s">
        <v>254</v>
      </c>
      <c r="B10" s="73" t="n">
        <v>171</v>
      </c>
      <c r="C10" s="114" t="n">
        <v>10</v>
      </c>
      <c r="D10" s="38" t="n">
        <v>0.254545454545454</v>
      </c>
      <c r="E10" s="61" t="n">
        <v>0</v>
      </c>
      <c r="F10" s="61" t="n">
        <v>0</v>
      </c>
      <c r="G10" s="59" t="n">
        <v>0.285714285714286</v>
      </c>
      <c r="H10" s="38" t="n">
        <v>0.121212121212121</v>
      </c>
      <c r="I10" s="59" t="n">
        <v>0.111111111111111</v>
      </c>
      <c r="J10" s="38" t="n">
        <v>0.178571428571429</v>
      </c>
      <c r="K10" s="38" t="n">
        <v>0.443333333333333</v>
      </c>
      <c r="L10" s="38" t="n">
        <f aca="false">SUM(D10:K10)-MIN(D10:K10)</f>
        <v>1.39448773448773</v>
      </c>
      <c r="M10" s="38" t="n">
        <v>0.258333333333333</v>
      </c>
      <c r="N10" s="38" t="n">
        <v>0.05</v>
      </c>
      <c r="O10" s="38" t="n">
        <f aca="false">SUM(L10:N10)</f>
        <v>1.70282106782107</v>
      </c>
      <c r="P10" s="95"/>
    </row>
    <row r="11" s="68" customFormat="true" ht="16.5" hidden="false" customHeight="true" outlineLevel="0" collapsed="false">
      <c r="A11" s="76" t="s">
        <v>255</v>
      </c>
      <c r="B11" s="73" t="n">
        <v>171</v>
      </c>
      <c r="C11" s="114" t="n">
        <v>9</v>
      </c>
      <c r="D11" s="38" t="n">
        <v>0.2</v>
      </c>
      <c r="E11" s="61" t="n">
        <v>0</v>
      </c>
      <c r="F11" s="38" t="n">
        <v>0.0666666666666667</v>
      </c>
      <c r="G11" s="59" t="n">
        <v>0.214285714285714</v>
      </c>
      <c r="H11" s="59" t="n">
        <v>0.121212121212121</v>
      </c>
      <c r="I11" s="59" t="n">
        <v>0.166666666666667</v>
      </c>
      <c r="J11" s="38" t="n">
        <v>0.357142857142857</v>
      </c>
      <c r="K11" s="38" t="n">
        <v>0.333333333333333</v>
      </c>
      <c r="L11" s="38" t="n">
        <f aca="false">SUM(D11:K11)-MIN(D11:K11)</f>
        <v>1.45930735930736</v>
      </c>
      <c r="M11" s="61" t="n">
        <v>0</v>
      </c>
      <c r="N11" s="38" t="n">
        <v>0.15</v>
      </c>
      <c r="O11" s="38" t="n">
        <f aca="false">SUM(L11:N11)</f>
        <v>1.60930735930736</v>
      </c>
      <c r="P11" s="115" t="s">
        <v>103</v>
      </c>
    </row>
    <row r="12" customFormat="false" ht="16.5" hidden="false" customHeight="true" outlineLevel="0" collapsed="false">
      <c r="A12" s="76" t="s">
        <v>256</v>
      </c>
      <c r="B12" s="73" t="n">
        <v>171</v>
      </c>
      <c r="C12" s="114" t="n">
        <v>9</v>
      </c>
      <c r="D12" s="38" t="n">
        <v>0.0727272727272727</v>
      </c>
      <c r="E12" s="38" t="n">
        <v>0.04</v>
      </c>
      <c r="F12" s="61" t="n">
        <v>0</v>
      </c>
      <c r="G12" s="59" t="n">
        <v>0.214285714285714</v>
      </c>
      <c r="H12" s="59" t="n">
        <v>0.242424242424242</v>
      </c>
      <c r="I12" s="38" t="n">
        <v>0.222222222222222</v>
      </c>
      <c r="J12" s="38" t="n">
        <v>0.0714285714285714</v>
      </c>
      <c r="K12" s="61" t="n">
        <v>0</v>
      </c>
      <c r="L12" s="38" t="n">
        <f aca="false">SUM(D12:K12)-MIN(D12:K12)</f>
        <v>0.863088023088023</v>
      </c>
      <c r="M12" s="38" t="n">
        <v>0.05</v>
      </c>
      <c r="N12" s="61" t="n">
        <v>0</v>
      </c>
      <c r="O12" s="38" t="n">
        <f aca="false">SUM(L12:N12)</f>
        <v>0.913088023088023</v>
      </c>
      <c r="P12" s="115" t="s">
        <v>103</v>
      </c>
    </row>
    <row r="13" customFormat="false" ht="16.5" hidden="false" customHeight="true" outlineLevel="0" collapsed="false">
      <c r="A13" s="116" t="s">
        <v>202</v>
      </c>
      <c r="B13" s="79" t="s">
        <v>6</v>
      </c>
      <c r="C13" s="74" t="n">
        <v>11</v>
      </c>
      <c r="D13" s="61" t="n">
        <v>0</v>
      </c>
      <c r="E13" s="38" t="n">
        <v>0.05</v>
      </c>
      <c r="F13" s="38" t="n">
        <v>0.1</v>
      </c>
      <c r="G13" s="59" t="n">
        <v>0.214285714285714</v>
      </c>
      <c r="H13" s="61" t="n">
        <v>0</v>
      </c>
      <c r="I13" s="61" t="n">
        <v>0</v>
      </c>
      <c r="J13" s="61" t="n">
        <v>0</v>
      </c>
      <c r="K13" s="61" t="n">
        <v>0</v>
      </c>
      <c r="L13" s="38" t="n">
        <f aca="false">SUM(D13:K13)-MIN(D13:K13)</f>
        <v>0.364285714285714</v>
      </c>
      <c r="M13" s="61" t="n">
        <v>0</v>
      </c>
      <c r="N13" s="61" t="n">
        <v>0</v>
      </c>
      <c r="O13" s="38" t="n">
        <f aca="false">SUM(L13:N13)</f>
        <v>0.364285714285714</v>
      </c>
      <c r="P13" s="95"/>
    </row>
    <row r="14" s="68" customFormat="true" ht="16.5" hidden="false" customHeight="true" outlineLevel="0" collapsed="false">
      <c r="A14" s="76" t="s">
        <v>257</v>
      </c>
      <c r="B14" s="73" t="n">
        <v>171</v>
      </c>
      <c r="C14" s="114" t="n">
        <v>9</v>
      </c>
      <c r="D14" s="61" t="n">
        <v>0</v>
      </c>
      <c r="E14" s="61" t="n">
        <v>0</v>
      </c>
      <c r="F14" s="59" t="n">
        <v>0.0333333333333333</v>
      </c>
      <c r="G14" s="59" t="n">
        <v>0.214285714285714</v>
      </c>
      <c r="H14" s="61" t="n">
        <v>0</v>
      </c>
      <c r="I14" s="61" t="n">
        <v>0</v>
      </c>
      <c r="J14" s="61" t="n">
        <v>0</v>
      </c>
      <c r="K14" s="38" t="n">
        <v>0.0366666666666667</v>
      </c>
      <c r="L14" s="38" t="n">
        <f aca="false">SUM(D14:K14)-MIN(D14:K14)</f>
        <v>0.284285714285714</v>
      </c>
      <c r="M14" s="61" t="n">
        <v>0</v>
      </c>
      <c r="N14" s="38" t="n">
        <v>0.05</v>
      </c>
      <c r="O14" s="38" t="n">
        <f aca="false">SUM(L14:N14)</f>
        <v>0.334285714285714</v>
      </c>
      <c r="P14" s="75"/>
    </row>
    <row r="15" customFormat="false" ht="16.5" hidden="false" customHeight="true" outlineLevel="0" collapsed="false">
      <c r="A15" s="116" t="s">
        <v>258</v>
      </c>
      <c r="B15" s="73" t="s">
        <v>6</v>
      </c>
      <c r="C15" s="74" t="n">
        <v>11</v>
      </c>
      <c r="D15" s="61" t="n">
        <v>0</v>
      </c>
      <c r="E15" s="61" t="n">
        <v>0</v>
      </c>
      <c r="F15" s="38" t="n">
        <v>0.0666666666666667</v>
      </c>
      <c r="G15" s="61" t="n">
        <v>0</v>
      </c>
      <c r="H15" s="61" t="n">
        <v>0</v>
      </c>
      <c r="I15" s="61" t="n">
        <v>0</v>
      </c>
      <c r="J15" s="61" t="n">
        <v>0</v>
      </c>
      <c r="K15" s="61" t="n">
        <v>0</v>
      </c>
      <c r="L15" s="38" t="n">
        <f aca="false">SUM(D15:K15)-MIN(D15:K15)</f>
        <v>0.0666666666666667</v>
      </c>
      <c r="M15" s="117"/>
      <c r="N15" s="117"/>
      <c r="O15" s="38" t="n">
        <f aca="false">SUM(L15:N15)</f>
        <v>0.0666666666666667</v>
      </c>
      <c r="P15" s="95"/>
    </row>
    <row r="16" s="68" customFormat="true" ht="16.5" hidden="false" customHeight="true" outlineLevel="0" collapsed="false">
      <c r="A16" s="116" t="s">
        <v>259</v>
      </c>
      <c r="B16" s="73" t="s">
        <v>6</v>
      </c>
      <c r="C16" s="74" t="n">
        <v>10</v>
      </c>
      <c r="D16" s="61" t="n">
        <v>0</v>
      </c>
      <c r="E16" s="61" t="n">
        <v>0</v>
      </c>
      <c r="F16" s="61" t="n">
        <v>0</v>
      </c>
      <c r="G16" s="61" t="n">
        <v>0</v>
      </c>
      <c r="H16" s="61" t="n">
        <v>0</v>
      </c>
      <c r="I16" s="61" t="n">
        <v>0</v>
      </c>
      <c r="J16" s="61" t="n">
        <v>0</v>
      </c>
      <c r="K16" s="61" t="n">
        <v>0</v>
      </c>
      <c r="L16" s="38" t="n">
        <f aca="false">SUM(D16:K16)-MIN(D16:K16)</f>
        <v>0</v>
      </c>
      <c r="M16" s="117"/>
      <c r="N16" s="117"/>
      <c r="O16" s="38" t="n">
        <f aca="false">SUM(L16:N16)</f>
        <v>0</v>
      </c>
      <c r="P16" s="95"/>
    </row>
    <row r="17" customFormat="false" ht="16.5" hidden="false" customHeight="true" outlineLevel="0" collapsed="false">
      <c r="A17" s="100"/>
      <c r="B17" s="101"/>
      <c r="C17" s="102"/>
      <c r="D17" s="103"/>
      <c r="E17" s="103"/>
      <c r="F17" s="104"/>
      <c r="G17" s="105"/>
      <c r="H17" s="104"/>
      <c r="I17" s="103"/>
      <c r="J17" s="104"/>
      <c r="K17" s="103"/>
      <c r="L17" s="104"/>
      <c r="M17" s="104"/>
      <c r="N17" s="104"/>
      <c r="O17" s="104"/>
      <c r="P17" s="106"/>
    </row>
    <row r="18" customFormat="false" ht="15.75" hidden="false" customHeight="false" outlineLevel="0" collapsed="false">
      <c r="A18" s="118" t="s">
        <v>232</v>
      </c>
      <c r="O18" s="24"/>
      <c r="P18" s="68"/>
    </row>
    <row r="19" customFormat="false" ht="15.75" hidden="false" customHeight="false" outlineLevel="0" collapsed="false">
      <c r="A19" s="118" t="s">
        <v>233</v>
      </c>
      <c r="O19" s="24"/>
      <c r="P19" s="68"/>
    </row>
    <row r="20" customFormat="false" ht="15.75" hidden="false" customHeight="false" outlineLevel="0" collapsed="false">
      <c r="A20" s="118" t="s">
        <v>260</v>
      </c>
      <c r="O20" s="24"/>
      <c r="P20" s="68"/>
    </row>
    <row r="21" customFormat="false" ht="15.75" hidden="false" customHeight="false" outlineLevel="0" collapsed="false">
      <c r="A21" s="118"/>
      <c r="O21" s="24"/>
      <c r="P21" s="68"/>
    </row>
    <row r="22" customFormat="false" ht="15.75" hidden="false" customHeight="false" outlineLevel="0" collapsed="false">
      <c r="A22" s="119" t="s">
        <v>236</v>
      </c>
      <c r="M22" s="120" t="s">
        <v>237</v>
      </c>
      <c r="O22" s="24"/>
      <c r="P22" s="68"/>
    </row>
  </sheetData>
  <printOptions headings="false" gridLines="false" gridLinesSet="true" horizontalCentered="true" verticalCentered="true"/>
  <pageMargins left="0.196527777777778" right="0.196527777777778" top="1.18055555555556" bottom="0.590277777777778" header="0.708333333333333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&amp;C&amp;"Arial,Звичайний"&amp;16Результати відбірково-тренувальних зборів команди міста Києва 
до IV етапу Всеукраїнської учнівської олімпіади з інформатики 2008 року</oddHeader>
    <oddFooter/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R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9" activeCellId="0" sqref="A19"/>
    </sheetView>
  </sheetViews>
  <sheetFormatPr defaultColWidth="9.15625" defaultRowHeight="15.75" zeroHeight="false" outlineLevelRow="0" outlineLevelCol="0"/>
  <cols>
    <col collapsed="false" customWidth="true" hidden="false" outlineLevel="0" max="1" min="1" style="10" width="32.71"/>
    <col collapsed="false" customWidth="true" hidden="false" outlineLevel="0" max="2" min="2" style="22" width="3.86"/>
    <col collapsed="false" customWidth="true" hidden="false" outlineLevel="0" max="3" min="3" style="121" width="3.42"/>
    <col collapsed="false" customWidth="true" hidden="false" outlineLevel="0" max="8" min="4" style="23" width="5.7"/>
    <col collapsed="false" customWidth="true" hidden="false" outlineLevel="0" max="12" min="9" style="11" width="5.7"/>
    <col collapsed="false" customWidth="true" hidden="false" outlineLevel="0" max="13" min="13" style="11" width="6.15"/>
    <col collapsed="false" customWidth="true" hidden="false" outlineLevel="0" max="17" min="14" style="22" width="5.7"/>
    <col collapsed="false" customWidth="true" hidden="false" outlineLevel="0" max="18" min="18" style="24" width="8.14"/>
    <col collapsed="false" customWidth="true" hidden="true" outlineLevel="0" max="20" min="19" style="68" width="11.52"/>
    <col collapsed="false" customWidth="true" hidden="false" outlineLevel="0" max="23" min="21" style="10" width="3.71"/>
    <col collapsed="false" customWidth="true" hidden="false" outlineLevel="0" max="24" min="24" style="10" width="7.57"/>
    <col collapsed="false" customWidth="false" hidden="false" outlineLevel="0" max="1024" min="25" style="10" width="9.14"/>
  </cols>
  <sheetData>
    <row r="1" s="112" customFormat="true" ht="37.5" hidden="false" customHeight="true" outlineLevel="0" collapsed="false">
      <c r="A1" s="107" t="s">
        <v>119</v>
      </c>
      <c r="B1" s="108" t="s">
        <v>2</v>
      </c>
      <c r="C1" s="122" t="s">
        <v>1</v>
      </c>
      <c r="D1" s="123" t="s">
        <v>261</v>
      </c>
      <c r="E1" s="123" t="s">
        <v>262</v>
      </c>
      <c r="F1" s="123" t="s">
        <v>263</v>
      </c>
      <c r="G1" s="123" t="s">
        <v>264</v>
      </c>
      <c r="H1" s="123" t="s">
        <v>265</v>
      </c>
      <c r="I1" s="123" t="s">
        <v>266</v>
      </c>
      <c r="J1" s="124" t="s">
        <v>267</v>
      </c>
      <c r="K1" s="124" t="s">
        <v>268</v>
      </c>
      <c r="L1" s="124" t="s">
        <v>269</v>
      </c>
      <c r="M1" s="124" t="s">
        <v>270</v>
      </c>
      <c r="N1" s="107" t="s">
        <v>3</v>
      </c>
      <c r="O1" s="111" t="s">
        <v>271</v>
      </c>
      <c r="P1" s="111" t="s">
        <v>272</v>
      </c>
      <c r="Q1" s="70" t="s">
        <v>190</v>
      </c>
      <c r="R1" s="107" t="s">
        <v>4</v>
      </c>
      <c r="S1" s="112" t="s">
        <v>273</v>
      </c>
      <c r="T1" s="113" t="s">
        <v>274</v>
      </c>
      <c r="U1" s="107" t="s">
        <v>275</v>
      </c>
      <c r="V1" s="107" t="s">
        <v>276</v>
      </c>
      <c r="W1" s="70" t="s">
        <v>190</v>
      </c>
      <c r="X1" s="107" t="s">
        <v>277</v>
      </c>
    </row>
    <row r="2" customFormat="false" ht="15.75" hidden="false" customHeight="true" outlineLevel="0" collapsed="false">
      <c r="A2" s="79" t="s">
        <v>248</v>
      </c>
      <c r="B2" s="73" t="n">
        <v>171</v>
      </c>
      <c r="C2" s="80" t="n">
        <v>11</v>
      </c>
      <c r="D2" s="125" t="n">
        <v>0.958333333333333</v>
      </c>
      <c r="E2" s="126" t="n">
        <v>1</v>
      </c>
      <c r="F2" s="125" t="n">
        <v>0.9</v>
      </c>
      <c r="G2" s="127" t="n">
        <v>0.267857142857143</v>
      </c>
      <c r="H2" s="125" t="n">
        <v>0.856060606060606</v>
      </c>
      <c r="I2" s="127" t="n">
        <v>0.527777777777778</v>
      </c>
      <c r="J2" s="128" t="n">
        <v>0.12</v>
      </c>
      <c r="K2" s="127" t="n">
        <v>0.5</v>
      </c>
      <c r="L2" s="129" t="n">
        <v>1</v>
      </c>
      <c r="M2" s="38" t="n">
        <v>0.676666666666667</v>
      </c>
      <c r="N2" s="130" t="n">
        <f aca="false">SUM(D2:M2)-MIN(D2:M2)</f>
        <v>6.68669552669553</v>
      </c>
      <c r="O2" s="131"/>
      <c r="P2" s="131"/>
      <c r="Q2" s="130" t="n">
        <f aca="false">SUM(N2:P2)</f>
        <v>6.68669552669553</v>
      </c>
      <c r="R2" s="132" t="s">
        <v>103</v>
      </c>
      <c r="U2" s="133" t="n">
        <v>300</v>
      </c>
      <c r="V2" s="133" t="n">
        <v>300</v>
      </c>
      <c r="W2" s="133" t="n">
        <f aca="false">SUM(U2:V2)</f>
        <v>600</v>
      </c>
      <c r="X2" s="133" t="n">
        <v>1</v>
      </c>
    </row>
    <row r="3" customFormat="false" ht="15.75" hidden="false" customHeight="true" outlineLevel="0" collapsed="false">
      <c r="A3" s="79" t="s">
        <v>251</v>
      </c>
      <c r="B3" s="73" t="n">
        <v>171</v>
      </c>
      <c r="C3" s="80" t="n">
        <v>11</v>
      </c>
      <c r="D3" s="125" t="n">
        <v>0.966666666666667</v>
      </c>
      <c r="E3" s="126" t="n">
        <v>1</v>
      </c>
      <c r="F3" s="127" t="n">
        <v>0.375</v>
      </c>
      <c r="G3" s="125" t="n">
        <v>0.839285714285714</v>
      </c>
      <c r="H3" s="127" t="n">
        <v>0.742424242424242</v>
      </c>
      <c r="I3" s="127" t="n">
        <v>0.527777777777778</v>
      </c>
      <c r="J3" s="128" t="n">
        <v>0.04</v>
      </c>
      <c r="K3" s="125" t="n">
        <v>0.924242424242424</v>
      </c>
      <c r="L3" s="134" t="n">
        <v>0</v>
      </c>
      <c r="M3" s="134" t="n">
        <v>0</v>
      </c>
      <c r="N3" s="130" t="n">
        <f aca="false">SUM(D3:M3)-MIN(D3:M3)</f>
        <v>5.41539682539683</v>
      </c>
      <c r="O3" s="135"/>
      <c r="P3" s="135"/>
      <c r="Q3" s="130" t="n">
        <f aca="false">SUM(N3:P3)</f>
        <v>5.41539682539683</v>
      </c>
      <c r="R3" s="132" t="s">
        <v>103</v>
      </c>
      <c r="U3" s="133" t="n">
        <v>155</v>
      </c>
      <c r="V3" s="133" t="n">
        <v>225</v>
      </c>
      <c r="W3" s="133" t="n">
        <f aca="false">SUM(U3:V3)</f>
        <v>380</v>
      </c>
      <c r="X3" s="133" t="n">
        <v>3</v>
      </c>
    </row>
    <row r="4" s="68" customFormat="true" ht="15.75" hidden="false" customHeight="true" outlineLevel="0" collapsed="false">
      <c r="A4" s="79" t="s">
        <v>253</v>
      </c>
      <c r="B4" s="73" t="n">
        <v>171</v>
      </c>
      <c r="C4" s="80" t="n">
        <v>11</v>
      </c>
      <c r="D4" s="127" t="n">
        <v>0.575</v>
      </c>
      <c r="E4" s="127" t="n">
        <v>0.266666666666667</v>
      </c>
      <c r="F4" s="127" t="n">
        <v>0.025</v>
      </c>
      <c r="G4" s="127" t="n">
        <v>0.339285714285714</v>
      </c>
      <c r="H4" s="127" t="n">
        <v>0.310606060606061</v>
      </c>
      <c r="I4" s="127" t="n">
        <v>0.0277777777777778</v>
      </c>
      <c r="J4" s="128" t="n">
        <v>0.12</v>
      </c>
      <c r="K4" s="127" t="n">
        <v>0.46969696969697</v>
      </c>
      <c r="L4" s="130" t="n">
        <v>0.525</v>
      </c>
      <c r="M4" s="92" t="n">
        <v>0.816666666666667</v>
      </c>
      <c r="N4" s="130" t="n">
        <f aca="false">SUM(D4:M4)-MIN(D4:M4)</f>
        <v>3.45069985569986</v>
      </c>
      <c r="O4" s="130" t="n">
        <v>0.1</v>
      </c>
      <c r="P4" s="130" t="n">
        <v>0.6</v>
      </c>
      <c r="Q4" s="130" t="n">
        <f aca="false">SUM(N4:P4)</f>
        <v>4.15069985569986</v>
      </c>
      <c r="R4" s="132" t="s">
        <v>103</v>
      </c>
      <c r="U4" s="133" t="n">
        <v>200</v>
      </c>
      <c r="V4" s="133" t="n">
        <v>265</v>
      </c>
      <c r="W4" s="133" t="n">
        <f aca="false">SUM(U4:V4)</f>
        <v>465</v>
      </c>
      <c r="X4" s="133" t="n">
        <v>2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customFormat="false" ht="15.75" hidden="false" customHeight="true" outlineLevel="0" collapsed="false">
      <c r="A5" s="79" t="s">
        <v>255</v>
      </c>
      <c r="B5" s="73" t="n">
        <v>171</v>
      </c>
      <c r="C5" s="80" t="n">
        <v>10</v>
      </c>
      <c r="D5" s="134" t="n">
        <v>0</v>
      </c>
      <c r="E5" s="127" t="n">
        <v>0.133333333333333</v>
      </c>
      <c r="F5" s="127" t="n">
        <v>0.2</v>
      </c>
      <c r="G5" s="127" t="n">
        <v>0.232142857142857</v>
      </c>
      <c r="H5" s="127" t="n">
        <v>0.136363636363636</v>
      </c>
      <c r="I5" s="125" t="n">
        <v>0.75</v>
      </c>
      <c r="J5" s="128" t="n">
        <v>0.3</v>
      </c>
      <c r="K5" s="127" t="n">
        <v>0.272727272727273</v>
      </c>
      <c r="L5" s="130" t="n">
        <v>0.475</v>
      </c>
      <c r="M5" s="38" t="n">
        <v>0.583333333333333</v>
      </c>
      <c r="N5" s="130" t="n">
        <f aca="false">SUM(D5:M5)-MIN(D5:M5)</f>
        <v>3.08290043290043</v>
      </c>
      <c r="O5" s="130" t="n">
        <v>0.4</v>
      </c>
      <c r="P5" s="130" t="n">
        <v>0.65</v>
      </c>
      <c r="Q5" s="130" t="n">
        <f aca="false">SUM(N5:P5)</f>
        <v>4.13290043290043</v>
      </c>
      <c r="R5" s="132" t="s">
        <v>103</v>
      </c>
      <c r="U5" s="133" t="n">
        <v>175</v>
      </c>
      <c r="V5" s="133" t="n">
        <v>135</v>
      </c>
      <c r="W5" s="133" t="n">
        <f aca="false">SUM(U5:V5)</f>
        <v>310</v>
      </c>
      <c r="X5" s="133" t="n">
        <v>2</v>
      </c>
    </row>
    <row r="6" customFormat="false" ht="15.75" hidden="false" customHeight="true" outlineLevel="0" collapsed="false">
      <c r="A6" s="79" t="s">
        <v>278</v>
      </c>
      <c r="B6" s="73" t="s">
        <v>6</v>
      </c>
      <c r="C6" s="74" t="n">
        <v>10</v>
      </c>
      <c r="D6" s="127" t="n">
        <v>0.0333333333333333</v>
      </c>
      <c r="E6" s="127" t="n">
        <v>0.266666666666667</v>
      </c>
      <c r="F6" s="127" t="n">
        <v>0.175</v>
      </c>
      <c r="G6" s="127" t="n">
        <v>0.267857142857143</v>
      </c>
      <c r="H6" s="127" t="n">
        <v>0.303030303030303</v>
      </c>
      <c r="I6" s="127" t="n">
        <v>0.305555555555556</v>
      </c>
      <c r="J6" s="128" t="n">
        <v>0.3</v>
      </c>
      <c r="K6" s="127" t="n">
        <v>0.590909090909091</v>
      </c>
      <c r="L6" s="130" t="n">
        <v>0.5</v>
      </c>
      <c r="M6" s="38" t="n">
        <v>0.586666666666667</v>
      </c>
      <c r="N6" s="130" t="n">
        <f aca="false">SUM(D6:M6)-MIN(D6:M6)</f>
        <v>3.29568542568543</v>
      </c>
      <c r="O6" s="130" t="n">
        <v>0.2</v>
      </c>
      <c r="P6" s="130" t="n">
        <v>0.55</v>
      </c>
      <c r="Q6" s="130" t="n">
        <f aca="false">SUM(N6:P6)</f>
        <v>4.04568542568543</v>
      </c>
      <c r="R6" s="132" t="s">
        <v>103</v>
      </c>
      <c r="U6" s="133" t="n">
        <v>130</v>
      </c>
      <c r="V6" s="133" t="n">
        <v>120</v>
      </c>
      <c r="W6" s="133" t="n">
        <f aca="false">SUM(U6:V6)</f>
        <v>250</v>
      </c>
      <c r="X6" s="133" t="n">
        <v>3</v>
      </c>
    </row>
    <row r="7" s="68" customFormat="true" ht="15.75" hidden="false" customHeight="true" outlineLevel="0" collapsed="false">
      <c r="A7" s="79" t="s">
        <v>279</v>
      </c>
      <c r="B7" s="73" t="n">
        <v>171</v>
      </c>
      <c r="C7" s="80" t="n">
        <v>11</v>
      </c>
      <c r="D7" s="127" t="n">
        <v>0.2</v>
      </c>
      <c r="E7" s="127" t="n">
        <v>0.266666666666667</v>
      </c>
      <c r="F7" s="127" t="n">
        <v>0.075</v>
      </c>
      <c r="G7" s="127" t="n">
        <v>0.267857142857143</v>
      </c>
      <c r="H7" s="127" t="n">
        <v>0.196969696969697</v>
      </c>
      <c r="I7" s="127" t="n">
        <v>0.194444444444444</v>
      </c>
      <c r="J7" s="128" t="n">
        <v>0.3</v>
      </c>
      <c r="K7" s="125" t="n">
        <v>0.833333333333333</v>
      </c>
      <c r="L7" s="130" t="n">
        <v>0.15</v>
      </c>
      <c r="M7" s="38" t="n">
        <v>0.416666666666667</v>
      </c>
      <c r="N7" s="130" t="n">
        <f aca="false">SUM(D7:M7)-MIN(D7:M7)</f>
        <v>2.82593795093795</v>
      </c>
      <c r="O7" s="130" t="n">
        <v>0.28</v>
      </c>
      <c r="P7" s="130" t="n">
        <v>0.4</v>
      </c>
      <c r="Q7" s="130" t="n">
        <f aca="false">SUM(N7:P7)</f>
        <v>3.50593795093795</v>
      </c>
      <c r="R7" s="132" t="s">
        <v>103</v>
      </c>
      <c r="U7" s="133" t="n">
        <v>150</v>
      </c>
      <c r="V7" s="133" t="n">
        <v>165</v>
      </c>
      <c r="W7" s="133" t="n">
        <f aca="false">SUM(U7:V7)</f>
        <v>315</v>
      </c>
      <c r="X7" s="133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customFormat="false" ht="15.75" hidden="false" customHeight="true" outlineLevel="0" collapsed="false">
      <c r="A8" s="79" t="s">
        <v>280</v>
      </c>
      <c r="B8" s="73" t="n">
        <v>171</v>
      </c>
      <c r="C8" s="80" t="n">
        <v>11</v>
      </c>
      <c r="D8" s="127" t="n">
        <v>0.216666666666667</v>
      </c>
      <c r="E8" s="127" t="n">
        <v>0.133333333333333</v>
      </c>
      <c r="F8" s="127" t="n">
        <v>0.1</v>
      </c>
      <c r="G8" s="127" t="n">
        <v>0.375</v>
      </c>
      <c r="H8" s="127" t="n">
        <v>0.121212121212121</v>
      </c>
      <c r="I8" s="127" t="n">
        <v>0.277777777777778</v>
      </c>
      <c r="J8" s="128" t="n">
        <v>0.04</v>
      </c>
      <c r="K8" s="127" t="n">
        <v>0.590909090909091</v>
      </c>
      <c r="L8" s="134" t="n">
        <v>0</v>
      </c>
      <c r="M8" s="38" t="n">
        <v>0.47</v>
      </c>
      <c r="N8" s="130" t="n">
        <f aca="false">SUM(D8:M8)-MIN(D8:M8)</f>
        <v>2.32489898989899</v>
      </c>
      <c r="O8" s="130" t="n">
        <v>0.4</v>
      </c>
      <c r="P8" s="130" t="n">
        <v>0.65</v>
      </c>
      <c r="Q8" s="130" t="n">
        <f aca="false">SUM(N8:P8)</f>
        <v>3.37489898989899</v>
      </c>
      <c r="R8" s="136" t="s">
        <v>103</v>
      </c>
      <c r="U8" s="137" t="n">
        <v>125</v>
      </c>
      <c r="V8" s="137" t="n">
        <v>220</v>
      </c>
      <c r="W8" s="137" t="n">
        <f aca="false">SUM(U8:V8)</f>
        <v>345</v>
      </c>
      <c r="X8" s="137" t="n">
        <v>3</v>
      </c>
    </row>
    <row r="9" s="68" customFormat="true" ht="15.75" hidden="false" customHeight="true" outlineLevel="0" collapsed="false">
      <c r="A9" s="79" t="s">
        <v>256</v>
      </c>
      <c r="B9" s="73" t="n">
        <v>171</v>
      </c>
      <c r="C9" s="80" t="n">
        <v>10</v>
      </c>
      <c r="D9" s="127" t="n">
        <v>0.5</v>
      </c>
      <c r="E9" s="127" t="n">
        <v>0.333333333333333</v>
      </c>
      <c r="F9" s="127" t="n">
        <v>0.025</v>
      </c>
      <c r="G9" s="127" t="n">
        <v>0.232142857142857</v>
      </c>
      <c r="H9" s="127" t="n">
        <v>0.0151515151515152</v>
      </c>
      <c r="I9" s="127" t="n">
        <v>0.194444444444444</v>
      </c>
      <c r="J9" s="128" t="n">
        <v>0.04</v>
      </c>
      <c r="K9" s="127" t="n">
        <v>0.318181818181818</v>
      </c>
      <c r="L9" s="130" t="n">
        <v>0.525</v>
      </c>
      <c r="M9" s="38" t="n">
        <v>0.233333333333333</v>
      </c>
      <c r="N9" s="130" t="n">
        <f aca="false">SUM(D9:M9)-MIN(D9:M9)</f>
        <v>2.40143578643579</v>
      </c>
      <c r="O9" s="130" t="n">
        <v>0.38</v>
      </c>
      <c r="P9" s="130" t="n">
        <v>0.55</v>
      </c>
      <c r="Q9" s="130" t="n">
        <f aca="false">SUM(N9:P9)</f>
        <v>3.33143578643579</v>
      </c>
      <c r="R9" s="132" t="s">
        <v>103</v>
      </c>
      <c r="S9" s="87"/>
      <c r="T9" s="87"/>
      <c r="U9" s="72" t="n">
        <v>105</v>
      </c>
      <c r="V9" s="72" t="n">
        <v>290</v>
      </c>
      <c r="W9" s="133" t="n">
        <f aca="false">SUM(U9:V9)</f>
        <v>395</v>
      </c>
      <c r="X9" s="72" t="n">
        <v>1</v>
      </c>
    </row>
    <row r="10" customFormat="false" ht="15.75" hidden="false" customHeight="true" outlineLevel="0" collapsed="false">
      <c r="A10" s="79" t="s">
        <v>259</v>
      </c>
      <c r="B10" s="73" t="s">
        <v>6</v>
      </c>
      <c r="C10" s="74" t="n">
        <v>11</v>
      </c>
      <c r="D10" s="127" t="n">
        <v>0.2</v>
      </c>
      <c r="E10" s="127" t="n">
        <v>0.133333333333333</v>
      </c>
      <c r="F10" s="127" t="n">
        <v>0.075</v>
      </c>
      <c r="G10" s="127" t="n">
        <v>0.142857142857143</v>
      </c>
      <c r="H10" s="127" t="n">
        <v>0.303030303030303</v>
      </c>
      <c r="I10" s="127" t="n">
        <v>0.166666666666667</v>
      </c>
      <c r="J10" s="128" t="n">
        <v>0.16</v>
      </c>
      <c r="K10" s="127" t="n">
        <v>0.424242424242424</v>
      </c>
      <c r="L10" s="130" t="n">
        <v>0.55</v>
      </c>
      <c r="M10" s="38" t="n">
        <v>0.336666666666667</v>
      </c>
      <c r="N10" s="130" t="n">
        <f aca="false">SUM(D10:M10)-MIN(D10:M10)</f>
        <v>2.41679653679654</v>
      </c>
      <c r="O10" s="130" t="n">
        <v>0.4</v>
      </c>
      <c r="P10" s="130" t="n">
        <v>0.05</v>
      </c>
      <c r="Q10" s="130" t="n">
        <f aca="false">SUM(N10:P10)</f>
        <v>2.86679653679654</v>
      </c>
      <c r="R10" s="138"/>
      <c r="U10" s="119"/>
      <c r="V10" s="119"/>
      <c r="W10" s="119"/>
      <c r="X10" s="119"/>
    </row>
    <row r="11" customFormat="false" ht="15.75" hidden="false" customHeight="true" outlineLevel="0" collapsed="false">
      <c r="A11" s="84" t="s">
        <v>254</v>
      </c>
      <c r="B11" s="73" t="n">
        <v>171</v>
      </c>
      <c r="C11" s="74" t="n">
        <v>11</v>
      </c>
      <c r="D11" s="127" t="n">
        <v>0.358333333333333</v>
      </c>
      <c r="E11" s="127" t="n">
        <v>0.0666666666666667</v>
      </c>
      <c r="F11" s="127" t="n">
        <v>0.025</v>
      </c>
      <c r="G11" s="127" t="n">
        <v>0.196428571428571</v>
      </c>
      <c r="H11" s="127" t="n">
        <v>0.121212121212121</v>
      </c>
      <c r="I11" s="127" t="n">
        <v>0.111111111111111</v>
      </c>
      <c r="J11" s="128" t="n">
        <v>0.04</v>
      </c>
      <c r="K11" s="127" t="n">
        <v>0.242424242424242</v>
      </c>
      <c r="L11" s="130" t="n">
        <v>0.5</v>
      </c>
      <c r="M11" s="38" t="n">
        <v>0.4</v>
      </c>
      <c r="N11" s="130" t="n">
        <f aca="false">SUM(D11:M11)-MIN(D11:M11)</f>
        <v>2.03617604617605</v>
      </c>
      <c r="O11" s="130" t="n">
        <v>0.22</v>
      </c>
      <c r="P11" s="130" t="n">
        <v>0.6</v>
      </c>
      <c r="Q11" s="130" t="n">
        <f aca="false">SUM(N11:P11)</f>
        <v>2.85617604617605</v>
      </c>
      <c r="R11" s="132" t="s">
        <v>103</v>
      </c>
      <c r="S11" s="87"/>
      <c r="T11" s="87"/>
      <c r="U11" s="133" t="n">
        <v>170</v>
      </c>
      <c r="V11" s="133" t="n">
        <v>220</v>
      </c>
      <c r="W11" s="133" t="n">
        <f aca="false">SUM(U11:V11)</f>
        <v>390</v>
      </c>
      <c r="X11" s="133" t="n">
        <v>3</v>
      </c>
    </row>
    <row r="12" s="68" customFormat="true" ht="15.75" hidden="false" customHeight="true" outlineLevel="0" collapsed="false">
      <c r="A12" s="79" t="s">
        <v>281</v>
      </c>
      <c r="B12" s="73" t="n">
        <v>171</v>
      </c>
      <c r="C12" s="80" t="n">
        <v>10</v>
      </c>
      <c r="D12" s="127" t="n">
        <v>0.05</v>
      </c>
      <c r="E12" s="127" t="n">
        <v>0.266666666666667</v>
      </c>
      <c r="F12" s="134" t="n">
        <v>0</v>
      </c>
      <c r="G12" s="127" t="n">
        <v>0.0178571428571429</v>
      </c>
      <c r="H12" s="127" t="n">
        <v>0.121212121212121</v>
      </c>
      <c r="I12" s="127" t="n">
        <v>0.138888888888889</v>
      </c>
      <c r="J12" s="128" t="n">
        <v>0.04</v>
      </c>
      <c r="K12" s="127" t="n">
        <v>0.439393939393939</v>
      </c>
      <c r="L12" s="130" t="n">
        <v>0.675</v>
      </c>
      <c r="M12" s="38" t="n">
        <v>0.426666666666667</v>
      </c>
      <c r="N12" s="130" t="n">
        <f aca="false">SUM(D12:M12)-MIN(D12:M12)</f>
        <v>2.17568542568543</v>
      </c>
      <c r="O12" s="130" t="n">
        <v>0.2</v>
      </c>
      <c r="P12" s="130" t="n">
        <v>0.325</v>
      </c>
      <c r="Q12" s="130" t="n">
        <f aca="false">SUM(N12:P12)</f>
        <v>2.70068542568543</v>
      </c>
      <c r="R12" s="132" t="s">
        <v>103</v>
      </c>
      <c r="S12" s="87"/>
      <c r="T12" s="87"/>
      <c r="U12" s="72" t="n">
        <v>115</v>
      </c>
      <c r="V12" s="72" t="n">
        <v>80</v>
      </c>
      <c r="W12" s="133" t="n">
        <f aca="false">SUM(U12:V12)</f>
        <v>195</v>
      </c>
      <c r="X12" s="72"/>
    </row>
    <row r="13" customFormat="false" ht="15.75" hidden="false" customHeight="true" outlineLevel="0" collapsed="false">
      <c r="A13" s="79" t="s">
        <v>282</v>
      </c>
      <c r="B13" s="73" t="n">
        <v>171</v>
      </c>
      <c r="C13" s="80" t="n">
        <v>8</v>
      </c>
      <c r="D13" s="134" t="n">
        <v>0</v>
      </c>
      <c r="E13" s="127" t="n">
        <v>0.0666666666666667</v>
      </c>
      <c r="F13" s="127" t="n">
        <v>0.175</v>
      </c>
      <c r="G13" s="127" t="n">
        <v>0.392857142857143</v>
      </c>
      <c r="H13" s="127" t="n">
        <v>0.121212121212121</v>
      </c>
      <c r="I13" s="125" t="n">
        <v>0.75</v>
      </c>
      <c r="J13" s="128" t="n">
        <v>0.3</v>
      </c>
      <c r="K13" s="127" t="n">
        <v>0.0606060606060606</v>
      </c>
      <c r="L13" s="130" t="n">
        <v>0.6</v>
      </c>
      <c r="M13" s="134" t="n">
        <v>0</v>
      </c>
      <c r="N13" s="130" t="n">
        <f aca="false">SUM(D13:M13)-MIN(D13:M13)</f>
        <v>2.46634199134199</v>
      </c>
      <c r="O13" s="134" t="n">
        <v>0</v>
      </c>
      <c r="P13" s="134" t="n">
        <v>0</v>
      </c>
      <c r="Q13" s="130" t="n">
        <f aca="false">SUM(N13:P13)</f>
        <v>2.46634199134199</v>
      </c>
      <c r="R13" s="138"/>
      <c r="U13" s="119"/>
      <c r="V13" s="119"/>
      <c r="W13" s="119"/>
      <c r="X13" s="119"/>
    </row>
    <row r="14" customFormat="false" ht="15.75" hidden="false" customHeight="true" outlineLevel="0" collapsed="false">
      <c r="A14" s="79" t="s">
        <v>283</v>
      </c>
      <c r="B14" s="73" t="n">
        <v>171</v>
      </c>
      <c r="C14" s="80" t="n">
        <v>10</v>
      </c>
      <c r="D14" s="134" t="n">
        <v>0</v>
      </c>
      <c r="E14" s="127" t="n">
        <v>0.133333333333333</v>
      </c>
      <c r="F14" s="134" t="n">
        <v>0</v>
      </c>
      <c r="G14" s="127" t="n">
        <v>0.0535714285714286</v>
      </c>
      <c r="H14" s="127" t="n">
        <v>0.0606060606060606</v>
      </c>
      <c r="I14" s="127" t="n">
        <v>0.0833333333333333</v>
      </c>
      <c r="J14" s="134" t="n">
        <v>0</v>
      </c>
      <c r="K14" s="134" t="n">
        <v>0</v>
      </c>
      <c r="L14" s="130" t="n">
        <v>0.5</v>
      </c>
      <c r="M14" s="38" t="n">
        <v>0.34</v>
      </c>
      <c r="N14" s="130" t="n">
        <f aca="false">SUM(D14:M14)-MIN(D14:M14)</f>
        <v>1.17084415584416</v>
      </c>
      <c r="O14" s="130" t="n">
        <v>0.24</v>
      </c>
      <c r="P14" s="134" t="n">
        <v>0</v>
      </c>
      <c r="Q14" s="130" t="n">
        <f aca="false">SUM(N14:P14)</f>
        <v>1.41084415584416</v>
      </c>
      <c r="R14" s="132" t="s">
        <v>103</v>
      </c>
      <c r="S14" s="87"/>
      <c r="T14" s="87"/>
      <c r="U14" s="133" t="n">
        <v>100</v>
      </c>
      <c r="V14" s="133" t="n">
        <v>130</v>
      </c>
      <c r="W14" s="133" t="n">
        <f aca="false">SUM(U14:V14)</f>
        <v>230</v>
      </c>
      <c r="X14" s="133" t="n">
        <v>3</v>
      </c>
    </row>
    <row r="15" s="82" customFormat="true" ht="15.75" hidden="false" customHeight="true" outlineLevel="0" collapsed="false">
      <c r="A15" s="84" t="s">
        <v>284</v>
      </c>
      <c r="B15" s="73" t="n">
        <v>208</v>
      </c>
      <c r="C15" s="74" t="n">
        <v>11</v>
      </c>
      <c r="D15" s="134" t="n">
        <v>0</v>
      </c>
      <c r="E15" s="127" t="n">
        <v>0.0666666666666667</v>
      </c>
      <c r="F15" s="134" t="n">
        <v>0</v>
      </c>
      <c r="G15" s="127" t="n">
        <v>0.267857142857143</v>
      </c>
      <c r="H15" s="127" t="n">
        <v>0.121212121212121</v>
      </c>
      <c r="I15" s="127" t="n">
        <v>0.194444444444444</v>
      </c>
      <c r="J15" s="134" t="n">
        <v>0</v>
      </c>
      <c r="K15" s="127" t="n">
        <v>0.515151515151515</v>
      </c>
      <c r="L15" s="134" t="n">
        <v>0</v>
      </c>
      <c r="M15" s="134" t="n">
        <v>0</v>
      </c>
      <c r="N15" s="130" t="n">
        <f aca="false">SUM(D15:M15)-MIN(D15:M15)</f>
        <v>1.16533189033189</v>
      </c>
      <c r="O15" s="130" t="n">
        <v>0.24</v>
      </c>
      <c r="P15" s="134" t="n">
        <v>0</v>
      </c>
      <c r="Q15" s="130" t="n">
        <f aca="false">SUM(N15:P15)</f>
        <v>1.40533189033189</v>
      </c>
      <c r="R15" s="139"/>
      <c r="S15" s="68"/>
      <c r="T15" s="140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</row>
    <row r="16" customFormat="false" ht="15.75" hidden="false" customHeight="true" outlineLevel="0" collapsed="false">
      <c r="A16" s="79" t="s">
        <v>285</v>
      </c>
      <c r="B16" s="73" t="n">
        <v>171</v>
      </c>
      <c r="C16" s="80" t="n">
        <v>10</v>
      </c>
      <c r="D16" s="134" t="n">
        <v>0</v>
      </c>
      <c r="E16" s="127" t="n">
        <v>0.133333333333333</v>
      </c>
      <c r="F16" s="134" t="n">
        <v>0</v>
      </c>
      <c r="G16" s="127" t="n">
        <v>0.232142857142857</v>
      </c>
      <c r="H16" s="127" t="n">
        <v>0.128787878787879</v>
      </c>
      <c r="I16" s="127" t="n">
        <v>0.0833333333333333</v>
      </c>
      <c r="J16" s="134" t="n">
        <v>0</v>
      </c>
      <c r="K16" s="134" t="n">
        <v>0</v>
      </c>
      <c r="L16" s="130" t="n">
        <v>0.2</v>
      </c>
      <c r="M16" s="38" t="n">
        <v>0.286666666666667</v>
      </c>
      <c r="N16" s="130" t="n">
        <f aca="false">SUM(D16:M16)-MIN(D16:M16)</f>
        <v>1.06426406926407</v>
      </c>
      <c r="O16" s="130" t="n">
        <v>0.2</v>
      </c>
      <c r="P16" s="134" t="n">
        <v>0</v>
      </c>
      <c r="Q16" s="130" t="n">
        <f aca="false">SUM(N16:P16)</f>
        <v>1.26426406926407</v>
      </c>
      <c r="R16" s="141"/>
    </row>
    <row r="17" customFormat="false" ht="15.75" hidden="false" customHeight="true" outlineLevel="0" collapsed="false">
      <c r="A17" s="84" t="s">
        <v>286</v>
      </c>
      <c r="B17" s="73" t="n">
        <v>171</v>
      </c>
      <c r="C17" s="74" t="n">
        <v>10</v>
      </c>
      <c r="D17" s="134" t="n">
        <v>0</v>
      </c>
      <c r="E17" s="134" t="n">
        <v>0</v>
      </c>
      <c r="F17" s="127" t="n">
        <v>0.15</v>
      </c>
      <c r="G17" s="127" t="n">
        <v>0.0714285714285714</v>
      </c>
      <c r="H17" s="127" t="n">
        <v>0.121212121212121</v>
      </c>
      <c r="I17" s="134" t="n">
        <v>0</v>
      </c>
      <c r="J17" s="128" t="n">
        <v>0.04</v>
      </c>
      <c r="K17" s="127" t="n">
        <v>0.196969696969697</v>
      </c>
      <c r="L17" s="130" t="n">
        <v>0.5</v>
      </c>
      <c r="M17" s="134" t="n">
        <v>0</v>
      </c>
      <c r="N17" s="130" t="n">
        <f aca="false">SUM(D17:M17)-MIN(D17:M17)</f>
        <v>1.07961038961039</v>
      </c>
      <c r="O17" s="134" t="n">
        <v>0</v>
      </c>
      <c r="P17" s="134" t="n">
        <v>0</v>
      </c>
      <c r="Q17" s="130" t="n">
        <f aca="false">SUM(N17:P17)</f>
        <v>1.07961038961039</v>
      </c>
      <c r="R17" s="141"/>
    </row>
    <row r="18" customFormat="false" ht="15.75" hidden="false" customHeight="true" outlineLevel="0" collapsed="false">
      <c r="A18" s="79" t="s">
        <v>287</v>
      </c>
      <c r="B18" s="73" t="n">
        <v>145</v>
      </c>
      <c r="C18" s="80" t="n">
        <v>9</v>
      </c>
      <c r="D18" s="134" t="n">
        <v>0</v>
      </c>
      <c r="E18" s="134" t="n">
        <v>0</v>
      </c>
      <c r="F18" s="127" t="n">
        <v>0.2</v>
      </c>
      <c r="G18" s="127" t="n">
        <v>0.196428571428571</v>
      </c>
      <c r="H18" s="127" t="n">
        <v>0.196969696969697</v>
      </c>
      <c r="I18" s="127" t="n">
        <v>0.111111111111111</v>
      </c>
      <c r="J18" s="128" t="n">
        <v>0.04</v>
      </c>
      <c r="K18" s="134" t="n">
        <v>0</v>
      </c>
      <c r="L18" s="127" t="n">
        <v>0.075</v>
      </c>
      <c r="M18" s="134" t="n">
        <v>0</v>
      </c>
      <c r="N18" s="130" t="n">
        <f aca="false">SUM(D18:M18)-MIN(D18:M18)</f>
        <v>0.81950937950938</v>
      </c>
      <c r="O18" s="130" t="n">
        <v>0.06</v>
      </c>
      <c r="P18" s="134" t="n">
        <v>0</v>
      </c>
      <c r="Q18" s="130" t="n">
        <f aca="false">SUM(N18:P18)</f>
        <v>0.87950937950938</v>
      </c>
      <c r="R18" s="68"/>
    </row>
    <row r="19" customFormat="false" ht="15.75" hidden="false" customHeight="true" outlineLevel="0" collapsed="false">
      <c r="A19" s="79" t="s">
        <v>257</v>
      </c>
      <c r="B19" s="73" t="n">
        <v>171</v>
      </c>
      <c r="C19" s="80" t="n">
        <v>10</v>
      </c>
      <c r="D19" s="134" t="n">
        <v>0</v>
      </c>
      <c r="E19" s="134" t="n">
        <v>0</v>
      </c>
      <c r="F19" s="134" t="n">
        <v>0</v>
      </c>
      <c r="G19" s="127" t="n">
        <v>0.0892857142857143</v>
      </c>
      <c r="H19" s="127" t="n">
        <v>0.128787878787879</v>
      </c>
      <c r="I19" s="127" t="n">
        <v>0.0277777777777778</v>
      </c>
      <c r="J19" s="128" t="n">
        <v>0.04</v>
      </c>
      <c r="K19" s="134" t="n">
        <v>0</v>
      </c>
      <c r="L19" s="130" t="n">
        <v>0.025</v>
      </c>
      <c r="M19" s="38" t="n">
        <v>0.34</v>
      </c>
      <c r="N19" s="130" t="n">
        <f aca="false">SUM(D19:M19)-MIN(D19:M19)</f>
        <v>0.650851370851371</v>
      </c>
      <c r="O19" s="134" t="n">
        <v>0</v>
      </c>
      <c r="P19" s="134" t="n">
        <v>0</v>
      </c>
      <c r="Q19" s="130" t="n">
        <f aca="false">SUM(N19:P19)</f>
        <v>0.650851370851371</v>
      </c>
      <c r="R19" s="141"/>
    </row>
    <row r="20" customFormat="false" ht="15.75" hidden="false" customHeight="true" outlineLevel="0" collapsed="false">
      <c r="A20" s="79" t="s">
        <v>288</v>
      </c>
      <c r="B20" s="73" t="n">
        <v>145</v>
      </c>
      <c r="C20" s="80" t="n">
        <v>11</v>
      </c>
      <c r="D20" s="127" t="n">
        <v>0.05</v>
      </c>
      <c r="E20" s="127" t="n">
        <v>0.2</v>
      </c>
      <c r="F20" s="134" t="n">
        <v>0</v>
      </c>
      <c r="G20" s="134" t="n">
        <v>0</v>
      </c>
      <c r="H20" s="127" t="n">
        <v>0.121212121212121</v>
      </c>
      <c r="I20" s="134" t="n">
        <v>0</v>
      </c>
      <c r="J20" s="134" t="n">
        <v>0</v>
      </c>
      <c r="K20" s="134" t="n">
        <v>0</v>
      </c>
      <c r="L20" s="134" t="n">
        <v>0</v>
      </c>
      <c r="M20" s="134" t="n">
        <v>0</v>
      </c>
      <c r="N20" s="130" t="n">
        <f aca="false">SUM(D20:M20)-MIN(D20:M20)</f>
        <v>0.371212121212121</v>
      </c>
      <c r="O20" s="131"/>
      <c r="P20" s="131"/>
      <c r="Q20" s="130" t="n">
        <f aca="false">SUM(N20:P20)</f>
        <v>0.371212121212121</v>
      </c>
      <c r="R20" s="141"/>
    </row>
    <row r="21" customFormat="false" ht="15.75" hidden="false" customHeight="true" outlineLevel="0" collapsed="false">
      <c r="A21" s="84" t="s">
        <v>289</v>
      </c>
      <c r="B21" s="73" t="n">
        <v>208</v>
      </c>
      <c r="C21" s="74" t="n">
        <v>9</v>
      </c>
      <c r="D21" s="134" t="n">
        <v>0</v>
      </c>
      <c r="E21" s="134" t="n">
        <v>0</v>
      </c>
      <c r="F21" s="134" t="n">
        <v>0</v>
      </c>
      <c r="G21" s="127" t="n">
        <v>0.125</v>
      </c>
      <c r="H21" s="127" t="n">
        <v>0.0151515151515152</v>
      </c>
      <c r="I21" s="127" t="n">
        <v>0.166666666666667</v>
      </c>
      <c r="J21" s="134" t="n">
        <v>0</v>
      </c>
      <c r="K21" s="134" t="n">
        <v>0</v>
      </c>
      <c r="L21" s="142" t="n">
        <v>0</v>
      </c>
      <c r="M21" s="38" t="n">
        <v>0.0533333333333333</v>
      </c>
      <c r="N21" s="130" t="n">
        <f aca="false">SUM(D21:M21)-MIN(D21:M21)</f>
        <v>0.360151515151515</v>
      </c>
      <c r="O21" s="143"/>
      <c r="P21" s="143"/>
      <c r="Q21" s="130" t="n">
        <f aca="false">SUM(N21:P21)</f>
        <v>0.360151515151515</v>
      </c>
      <c r="R21" s="141"/>
      <c r="T21" s="140"/>
    </row>
    <row r="22" customFormat="false" ht="15.75" hidden="false" customHeight="true" outlineLevel="0" collapsed="false">
      <c r="A22" s="79" t="s">
        <v>290</v>
      </c>
      <c r="B22" s="79" t="s">
        <v>6</v>
      </c>
      <c r="C22" s="74" t="n">
        <v>10</v>
      </c>
      <c r="D22" s="134" t="n">
        <v>0</v>
      </c>
      <c r="E22" s="134" t="n">
        <v>0</v>
      </c>
      <c r="F22" s="134" t="n">
        <v>0</v>
      </c>
      <c r="G22" s="127" t="n">
        <v>0.125</v>
      </c>
      <c r="H22" s="134" t="n">
        <v>0</v>
      </c>
      <c r="I22" s="134" t="n">
        <v>0</v>
      </c>
      <c r="J22" s="134" t="n">
        <v>0</v>
      </c>
      <c r="K22" s="134" t="n">
        <v>0</v>
      </c>
      <c r="L22" s="134" t="n">
        <v>0</v>
      </c>
      <c r="M22" s="134" t="n">
        <v>0</v>
      </c>
      <c r="N22" s="130" t="n">
        <f aca="false">SUM(D22:M22)-MIN(D22:M22)</f>
        <v>0.125</v>
      </c>
      <c r="O22" s="131"/>
      <c r="P22" s="131"/>
      <c r="Q22" s="130" t="n">
        <f aca="false">SUM(N22:P22)</f>
        <v>0.125</v>
      </c>
      <c r="R22" s="141"/>
    </row>
    <row r="23" customFormat="false" ht="15.75" hidden="false" customHeight="true" outlineLevel="0" collapsed="false">
      <c r="A23" s="79" t="s">
        <v>291</v>
      </c>
      <c r="B23" s="73" t="n">
        <v>171</v>
      </c>
      <c r="C23" s="80" t="n">
        <v>8</v>
      </c>
      <c r="D23" s="134" t="n">
        <v>0</v>
      </c>
      <c r="E23" s="127" t="n">
        <v>0.0666666666666667</v>
      </c>
      <c r="F23" s="134" t="n">
        <v>0</v>
      </c>
      <c r="G23" s="134" t="n">
        <v>0</v>
      </c>
      <c r="H23" s="134" t="n">
        <v>0</v>
      </c>
      <c r="I23" s="134" t="n">
        <v>0</v>
      </c>
      <c r="J23" s="134" t="n">
        <v>0</v>
      </c>
      <c r="K23" s="134" t="n">
        <v>0</v>
      </c>
      <c r="L23" s="134" t="n">
        <v>0</v>
      </c>
      <c r="M23" s="134" t="n">
        <v>0</v>
      </c>
      <c r="N23" s="130" t="n">
        <f aca="false">SUM(D23:M23)-MIN(D23:M23)</f>
        <v>0.0666666666666667</v>
      </c>
      <c r="O23" s="131"/>
      <c r="P23" s="131"/>
      <c r="Q23" s="130" t="n">
        <f aca="false">SUM(N23:P23)</f>
        <v>0.0666666666666667</v>
      </c>
      <c r="R23" s="141"/>
    </row>
    <row r="24" customFormat="false" ht="15.75" hidden="false" customHeight="true" outlineLevel="0" collapsed="false">
      <c r="A24" s="79" t="s">
        <v>292</v>
      </c>
      <c r="B24" s="73" t="n">
        <v>171</v>
      </c>
      <c r="C24" s="80" t="n">
        <v>10</v>
      </c>
      <c r="D24" s="134" t="n">
        <v>0</v>
      </c>
      <c r="E24" s="134" t="n">
        <v>0</v>
      </c>
      <c r="F24" s="134" t="n">
        <v>0</v>
      </c>
      <c r="G24" s="134" t="n">
        <v>0</v>
      </c>
      <c r="H24" s="134" t="n">
        <v>0</v>
      </c>
      <c r="I24" s="134" t="n">
        <v>0</v>
      </c>
      <c r="J24" s="134" t="n">
        <v>0</v>
      </c>
      <c r="K24" s="134" t="n">
        <v>0</v>
      </c>
      <c r="L24" s="134" t="n">
        <v>0</v>
      </c>
      <c r="M24" s="134" t="n">
        <v>0</v>
      </c>
      <c r="N24" s="130" t="n">
        <f aca="false">SUM(D24:M24)-MIN(D24:M24)</f>
        <v>0</v>
      </c>
      <c r="O24" s="144"/>
      <c r="P24" s="144"/>
      <c r="Q24" s="130" t="n">
        <f aca="false">SUM(N24:P24)</f>
        <v>0</v>
      </c>
      <c r="R24" s="141"/>
    </row>
    <row r="25" customFormat="false" ht="15.75" hidden="false" customHeight="true" outlineLevel="0" collapsed="false">
      <c r="A25" s="84" t="s">
        <v>293</v>
      </c>
      <c r="B25" s="79" t="n">
        <v>178</v>
      </c>
      <c r="C25" s="74" t="n">
        <v>8</v>
      </c>
      <c r="D25" s="134" t="n">
        <v>0</v>
      </c>
      <c r="E25" s="134" t="n">
        <v>0</v>
      </c>
      <c r="F25" s="134" t="n">
        <v>0</v>
      </c>
      <c r="G25" s="134" t="n">
        <v>0</v>
      </c>
      <c r="H25" s="134" t="n">
        <v>0</v>
      </c>
      <c r="I25" s="134" t="n">
        <v>0</v>
      </c>
      <c r="J25" s="134" t="n">
        <v>0</v>
      </c>
      <c r="K25" s="134" t="n">
        <v>0</v>
      </c>
      <c r="L25" s="134" t="n">
        <v>0</v>
      </c>
      <c r="M25" s="134" t="n">
        <v>0</v>
      </c>
      <c r="N25" s="130" t="n">
        <f aca="false">SUM(D25:M25)-MIN(D25:M25)</f>
        <v>0</v>
      </c>
      <c r="O25" s="131"/>
      <c r="P25" s="131"/>
      <c r="Q25" s="130" t="n">
        <f aca="false">SUM(N25:P25)</f>
        <v>0</v>
      </c>
      <c r="R25" s="145"/>
    </row>
    <row r="26" customFormat="false" ht="15.75" hidden="false" customHeight="false" outlineLevel="0" collapsed="false">
      <c r="A26" s="118" t="s">
        <v>294</v>
      </c>
      <c r="Q26" s="24"/>
      <c r="R26" s="68"/>
    </row>
    <row r="27" customFormat="false" ht="15.75" hidden="false" customHeight="false" outlineLevel="0" collapsed="false">
      <c r="A27" s="118" t="s">
        <v>295</v>
      </c>
      <c r="Q27" s="24"/>
      <c r="R27" s="68"/>
    </row>
    <row r="28" customFormat="false" ht="15.75" hidden="false" customHeight="false" outlineLevel="0" collapsed="false">
      <c r="A28" s="118"/>
      <c r="Q28" s="24"/>
      <c r="R28" s="68"/>
    </row>
    <row r="29" customFormat="false" ht="15.75" hidden="false" customHeight="false" outlineLevel="0" collapsed="false">
      <c r="A29" s="118" t="s">
        <v>296</v>
      </c>
      <c r="Q29" s="24"/>
      <c r="R29" s="68"/>
    </row>
    <row r="30" customFormat="false" ht="15.75" hidden="false" customHeight="false" outlineLevel="0" collapsed="false">
      <c r="A30" s="118"/>
      <c r="Q30" s="24"/>
      <c r="R30" s="68"/>
    </row>
    <row r="31" customFormat="false" ht="15.75" hidden="false" customHeight="false" outlineLevel="0" collapsed="false">
      <c r="A31" s="119" t="s">
        <v>297</v>
      </c>
      <c r="O31" s="120" t="s">
        <v>237</v>
      </c>
      <c r="Q31" s="24"/>
      <c r="R31" s="68"/>
    </row>
  </sheetData>
  <printOptions headings="false" gridLines="false" gridLinesSet="true" horizontalCentered="true" verticalCentered="true"/>
  <pageMargins left="0.196527777777778" right="0.196527777777778" top="0.984027777777778" bottom="0.393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&amp;C&amp;"Arial,Звичайний"&amp;12Результати відбірково-тренувальних зборів команди міста Києва 
до IV етапу Всеукраїнської учнівської олімпіади з інформатики 2009 року</oddHeader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2018-02-06T14:13:30Z</dcterms:created>
  <dc:creator/>
  <dc:description/>
  <dc:language>uk-UA</dc:language>
  <cp:lastModifiedBy/>
  <cp:lastPrinted>2015-02-10T05:41:42Z</cp:lastPrinted>
  <dcterms:modified xsi:type="dcterms:W3CDTF">2024-03-02T17:00:46Z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