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drawings/drawing1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lex\kievoi\"/>
    </mc:Choice>
  </mc:AlternateContent>
  <bookViews>
    <workbookView xWindow="0" yWindow="0" windowWidth="16380" windowHeight="8190" tabRatio="500" firstSheet="9" activeTab="22"/>
  </bookViews>
  <sheets>
    <sheet name="2001" sheetId="1" r:id="rId1"/>
    <sheet name="2002" sheetId="2" r:id="rId2"/>
    <sheet name="2003" sheetId="3" r:id="rId3"/>
    <sheet name="2004" sheetId="4" r:id="rId4"/>
    <sheet name="2005" sheetId="5" r:id="rId5"/>
    <sheet name="2006" sheetId="6" r:id="rId6"/>
    <sheet name="2007" sheetId="7" r:id="rId7"/>
    <sheet name="2008" sheetId="8" r:id="rId8"/>
    <sheet name="2009" sheetId="9" r:id="rId9"/>
    <sheet name="2010" sheetId="10" r:id="rId10"/>
    <sheet name="2011" sheetId="11" r:id="rId11"/>
    <sheet name="2012" sheetId="12" r:id="rId12"/>
    <sheet name="2013" sheetId="13" r:id="rId13"/>
    <sheet name="2014" sheetId="14" r:id="rId14"/>
    <sheet name="2015" sheetId="15" r:id="rId15"/>
    <sheet name="2016" sheetId="16" r:id="rId16"/>
    <sheet name="2017" sheetId="17" r:id="rId17"/>
    <sheet name="2018" sheetId="18" r:id="rId18"/>
    <sheet name="2019" sheetId="19" r:id="rId19"/>
    <sheet name="2020" sheetId="20" r:id="rId20"/>
    <sheet name="2022" sheetId="21" r:id="rId21"/>
    <sheet name="2024" sheetId="22" r:id="rId22"/>
    <sheet name="2025" sheetId="23" r:id="rId23"/>
  </sheets>
  <definedNames>
    <definedName name="_xlnm._FilterDatabase" localSheetId="9" hidden="1">'2010'!$A$1:$BF$23</definedName>
    <definedName name="_xlnm._FilterDatabase" localSheetId="10" hidden="1">'2011'!$A$1:$M$24</definedName>
    <definedName name="_xlnm._FilterDatabase" localSheetId="11" hidden="1">'2012'!$A$1:$S$18</definedName>
    <definedName name="_xlnm._FilterDatabase" localSheetId="12" hidden="1">'2013'!$A$1:$R$16</definedName>
    <definedName name="_xlnm._FilterDatabase" localSheetId="13">'2014'!$A$1:$R$15</definedName>
    <definedName name="_xlnm._FilterDatabase" localSheetId="14" hidden="1">'2015'!$A$1:$L$19</definedName>
    <definedName name="_xlnm._FilterDatabase" localSheetId="15" hidden="1">'2016'!$A$1:$P$20</definedName>
    <definedName name="_xlnm._FilterDatabase" localSheetId="16" hidden="1">'2017'!$A$1:$R$18</definedName>
    <definedName name="_xlnm._FilterDatabase" localSheetId="17" hidden="1">'2018'!$A$1:$Q$1</definedName>
    <definedName name="_xlnm._FilterDatabase" localSheetId="18" hidden="1">'2019'!$A$1:$Q$17</definedName>
    <definedName name="_xlnm._FilterDatabase" localSheetId="19" hidden="1">'2020'!$A$1:$K$17</definedName>
    <definedName name="_xlnm._FilterDatabase" localSheetId="20" hidden="1">'2022'!$A$1:$K$21</definedName>
    <definedName name="Excel_BuiltIn__FilterDatabase" localSheetId="8">'2009'!$A$1:$BR$31</definedName>
    <definedName name="_xlnm.Print_Area" localSheetId="6">'2007'!$A$1:$P$24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23" l="1"/>
  <c r="H25" i="23"/>
  <c r="G25" i="23"/>
  <c r="F25" i="23"/>
  <c r="D25" i="23"/>
  <c r="C25" i="23"/>
  <c r="J25" i="23" s="1"/>
  <c r="K25" i="23" s="1"/>
  <c r="I24" i="23"/>
  <c r="H24" i="23"/>
  <c r="G24" i="23"/>
  <c r="F24" i="23"/>
  <c r="D24" i="23"/>
  <c r="C24" i="23"/>
  <c r="I23" i="23"/>
  <c r="H23" i="23"/>
  <c r="G23" i="23"/>
  <c r="F23" i="23"/>
  <c r="D23" i="23"/>
  <c r="C23" i="23"/>
  <c r="J23" i="23" s="1"/>
  <c r="K23" i="23" s="1"/>
  <c r="I22" i="23"/>
  <c r="H22" i="23"/>
  <c r="G22" i="23"/>
  <c r="F22" i="23"/>
  <c r="D22" i="23"/>
  <c r="C22" i="23"/>
  <c r="I21" i="23"/>
  <c r="H21" i="23"/>
  <c r="G21" i="23"/>
  <c r="F21" i="23"/>
  <c r="D21" i="23"/>
  <c r="C21" i="23"/>
  <c r="J21" i="23" s="1"/>
  <c r="K21" i="23" s="1"/>
  <c r="I20" i="23"/>
  <c r="H20" i="23"/>
  <c r="G20" i="23"/>
  <c r="F20" i="23"/>
  <c r="D20" i="23"/>
  <c r="C20" i="23"/>
  <c r="I19" i="23"/>
  <c r="H19" i="23"/>
  <c r="G19" i="23"/>
  <c r="F19" i="23"/>
  <c r="D19" i="23"/>
  <c r="C19" i="23"/>
  <c r="J19" i="23" s="1"/>
  <c r="K19" i="23" s="1"/>
  <c r="I18" i="23"/>
  <c r="H18" i="23"/>
  <c r="G18" i="23"/>
  <c r="F18" i="23"/>
  <c r="D18" i="23"/>
  <c r="C18" i="23"/>
  <c r="I17" i="23"/>
  <c r="H17" i="23"/>
  <c r="G17" i="23"/>
  <c r="F17" i="23"/>
  <c r="D17" i="23"/>
  <c r="C17" i="23"/>
  <c r="J17" i="23" s="1"/>
  <c r="K17" i="23" s="1"/>
  <c r="I16" i="23"/>
  <c r="H16" i="23"/>
  <c r="G16" i="23"/>
  <c r="F16" i="23"/>
  <c r="D16" i="23"/>
  <c r="C16" i="23"/>
  <c r="I15" i="23"/>
  <c r="H15" i="23"/>
  <c r="G15" i="23"/>
  <c r="F15" i="23"/>
  <c r="D15" i="23"/>
  <c r="C15" i="23"/>
  <c r="J15" i="23" s="1"/>
  <c r="K15" i="23" s="1"/>
  <c r="I14" i="23"/>
  <c r="H14" i="23"/>
  <c r="G14" i="23"/>
  <c r="F14" i="23"/>
  <c r="D14" i="23"/>
  <c r="C14" i="23"/>
  <c r="I13" i="23"/>
  <c r="H13" i="23"/>
  <c r="G13" i="23"/>
  <c r="F13" i="23"/>
  <c r="D13" i="23"/>
  <c r="C13" i="23"/>
  <c r="J13" i="23" s="1"/>
  <c r="K13" i="23" s="1"/>
  <c r="I12" i="23"/>
  <c r="H12" i="23"/>
  <c r="G12" i="23"/>
  <c r="F12" i="23"/>
  <c r="D12" i="23"/>
  <c r="C12" i="23"/>
  <c r="I11" i="23"/>
  <c r="H11" i="23"/>
  <c r="G11" i="23"/>
  <c r="F11" i="23"/>
  <c r="D11" i="23"/>
  <c r="C11" i="23"/>
  <c r="J11" i="23" s="1"/>
  <c r="K11" i="23" s="1"/>
  <c r="I10" i="23"/>
  <c r="H10" i="23"/>
  <c r="G10" i="23"/>
  <c r="F10" i="23"/>
  <c r="D10" i="23"/>
  <c r="C10" i="23"/>
  <c r="I9" i="23"/>
  <c r="H9" i="23"/>
  <c r="G9" i="23"/>
  <c r="F9" i="23"/>
  <c r="D9" i="23"/>
  <c r="C9" i="23"/>
  <c r="J9" i="23" s="1"/>
  <c r="K9" i="23" s="1"/>
  <c r="I8" i="23"/>
  <c r="H8" i="23"/>
  <c r="G8" i="23"/>
  <c r="F8" i="23"/>
  <c r="D8" i="23"/>
  <c r="C8" i="23"/>
  <c r="I7" i="23"/>
  <c r="H7" i="23"/>
  <c r="G7" i="23"/>
  <c r="F7" i="23"/>
  <c r="D7" i="23"/>
  <c r="C7" i="23"/>
  <c r="J7" i="23" s="1"/>
  <c r="K7" i="23" s="1"/>
  <c r="I6" i="23"/>
  <c r="H6" i="23"/>
  <c r="G6" i="23"/>
  <c r="F6" i="23"/>
  <c r="D6" i="23"/>
  <c r="C6" i="23"/>
  <c r="I5" i="23"/>
  <c r="H5" i="23"/>
  <c r="G5" i="23"/>
  <c r="F5" i="23"/>
  <c r="D5" i="23"/>
  <c r="C5" i="23"/>
  <c r="J5" i="23" s="1"/>
  <c r="K5" i="23" s="1"/>
  <c r="I4" i="23"/>
  <c r="H4" i="23"/>
  <c r="G4" i="23"/>
  <c r="F4" i="23"/>
  <c r="D4" i="23"/>
  <c r="C4" i="23"/>
  <c r="I3" i="23"/>
  <c r="H3" i="23"/>
  <c r="G3" i="23"/>
  <c r="F3" i="23"/>
  <c r="D3" i="23"/>
  <c r="C3" i="23"/>
  <c r="J3" i="23" s="1"/>
  <c r="K3" i="23" s="1"/>
  <c r="I2" i="23"/>
  <c r="H2" i="23"/>
  <c r="G2" i="23"/>
  <c r="F2" i="23"/>
  <c r="D2" i="23"/>
  <c r="C2" i="23"/>
  <c r="F20" i="22"/>
  <c r="D20" i="22"/>
  <c r="C20" i="22"/>
  <c r="I19" i="22"/>
  <c r="H19" i="22"/>
  <c r="G19" i="22"/>
  <c r="F19" i="22"/>
  <c r="D19" i="22"/>
  <c r="C19" i="22"/>
  <c r="I18" i="22"/>
  <c r="H18" i="22"/>
  <c r="G18" i="22"/>
  <c r="F18" i="22"/>
  <c r="D18" i="22"/>
  <c r="C18" i="22"/>
  <c r="I17" i="22"/>
  <c r="H17" i="22"/>
  <c r="G17" i="22"/>
  <c r="F17" i="22"/>
  <c r="D17" i="22"/>
  <c r="C17" i="22"/>
  <c r="I16" i="22"/>
  <c r="H16" i="22"/>
  <c r="G16" i="22"/>
  <c r="F16" i="22"/>
  <c r="D16" i="22"/>
  <c r="C16" i="22"/>
  <c r="I15" i="22"/>
  <c r="H15" i="22"/>
  <c r="G15" i="22"/>
  <c r="F15" i="22"/>
  <c r="D15" i="22"/>
  <c r="C15" i="22"/>
  <c r="I14" i="22"/>
  <c r="H14" i="22"/>
  <c r="G14" i="22"/>
  <c r="F14" i="22"/>
  <c r="D14" i="22"/>
  <c r="C14" i="22"/>
  <c r="I13" i="22"/>
  <c r="H13" i="22"/>
  <c r="G13" i="22"/>
  <c r="F13" i="22"/>
  <c r="D13" i="22"/>
  <c r="C13" i="22"/>
  <c r="I12" i="22"/>
  <c r="H12" i="22"/>
  <c r="G12" i="22"/>
  <c r="F12" i="22"/>
  <c r="D12" i="22"/>
  <c r="J12" i="22" s="1"/>
  <c r="K12" i="22" s="1"/>
  <c r="C12" i="22"/>
  <c r="I11" i="22"/>
  <c r="H11" i="22"/>
  <c r="G11" i="22"/>
  <c r="F11" i="22"/>
  <c r="D11" i="22"/>
  <c r="C11" i="22"/>
  <c r="I10" i="22"/>
  <c r="H10" i="22"/>
  <c r="G10" i="22"/>
  <c r="F10" i="22"/>
  <c r="J10" i="22" s="1"/>
  <c r="K10" i="22" s="1"/>
  <c r="D10" i="22"/>
  <c r="C10" i="22"/>
  <c r="I9" i="22"/>
  <c r="H9" i="22"/>
  <c r="G9" i="22"/>
  <c r="F9" i="22"/>
  <c r="D9" i="22"/>
  <c r="C9" i="22"/>
  <c r="I8" i="22"/>
  <c r="H8" i="22"/>
  <c r="G8" i="22"/>
  <c r="F8" i="22"/>
  <c r="D8" i="22"/>
  <c r="C8" i="22"/>
  <c r="I7" i="22"/>
  <c r="H7" i="22"/>
  <c r="G7" i="22"/>
  <c r="F7" i="22"/>
  <c r="D7" i="22"/>
  <c r="C7" i="22"/>
  <c r="I6" i="22"/>
  <c r="H6" i="22"/>
  <c r="G6" i="22"/>
  <c r="F6" i="22"/>
  <c r="J6" i="22" s="1"/>
  <c r="K6" i="22" s="1"/>
  <c r="D6" i="22"/>
  <c r="C6" i="22"/>
  <c r="I5" i="22"/>
  <c r="H5" i="22"/>
  <c r="G5" i="22"/>
  <c r="F5" i="22"/>
  <c r="D5" i="22"/>
  <c r="C5" i="22"/>
  <c r="I4" i="22"/>
  <c r="H4" i="22"/>
  <c r="G4" i="22"/>
  <c r="F4" i="22"/>
  <c r="D4" i="22"/>
  <c r="C4" i="22"/>
  <c r="I3" i="22"/>
  <c r="H3" i="22"/>
  <c r="G3" i="22"/>
  <c r="F3" i="22"/>
  <c r="D3" i="22"/>
  <c r="C3" i="22"/>
  <c r="I2" i="22"/>
  <c r="H2" i="22"/>
  <c r="G2" i="22"/>
  <c r="F2" i="22"/>
  <c r="D2" i="22"/>
  <c r="C2" i="22"/>
  <c r="E21" i="21"/>
  <c r="D21" i="21"/>
  <c r="C21" i="21"/>
  <c r="I20" i="21"/>
  <c r="D20" i="21"/>
  <c r="C20" i="21"/>
  <c r="H20" i="21" s="1"/>
  <c r="G19" i="21"/>
  <c r="F19" i="21"/>
  <c r="E19" i="21"/>
  <c r="D19" i="21"/>
  <c r="C19" i="21"/>
  <c r="G18" i="21"/>
  <c r="F18" i="21"/>
  <c r="E18" i="21"/>
  <c r="D18" i="21"/>
  <c r="H18" i="21" s="1"/>
  <c r="I18" i="21" s="1"/>
  <c r="C18" i="21"/>
  <c r="H17" i="21"/>
  <c r="I17" i="21" s="1"/>
  <c r="G17" i="21"/>
  <c r="F17" i="21"/>
  <c r="E17" i="21"/>
  <c r="D17" i="21"/>
  <c r="C17" i="21"/>
  <c r="G16" i="21"/>
  <c r="F16" i="21"/>
  <c r="E16" i="21"/>
  <c r="D16" i="21"/>
  <c r="C16" i="21"/>
  <c r="G15" i="21"/>
  <c r="F15" i="21"/>
  <c r="E15" i="21"/>
  <c r="D15" i="21"/>
  <c r="C15" i="21"/>
  <c r="H15" i="21" s="1"/>
  <c r="I15" i="21" s="1"/>
  <c r="G14" i="21"/>
  <c r="F14" i="21"/>
  <c r="E14" i="21"/>
  <c r="D14" i="21"/>
  <c r="H14" i="21" s="1"/>
  <c r="I14" i="21" s="1"/>
  <c r="C14" i="21"/>
  <c r="G13" i="21"/>
  <c r="F13" i="21"/>
  <c r="E13" i="21"/>
  <c r="D13" i="21"/>
  <c r="C13" i="21"/>
  <c r="H13" i="21" s="1"/>
  <c r="I13" i="21" s="1"/>
  <c r="G12" i="21"/>
  <c r="F12" i="21"/>
  <c r="E12" i="21"/>
  <c r="D12" i="21"/>
  <c r="C12" i="21"/>
  <c r="H12" i="21" s="1"/>
  <c r="I12" i="21" s="1"/>
  <c r="G11" i="21"/>
  <c r="F11" i="21"/>
  <c r="E11" i="21"/>
  <c r="D11" i="21"/>
  <c r="C11" i="21"/>
  <c r="G10" i="21"/>
  <c r="F10" i="21"/>
  <c r="E10" i="21"/>
  <c r="D10" i="21"/>
  <c r="H10" i="21" s="1"/>
  <c r="I10" i="21" s="1"/>
  <c r="C10" i="21"/>
  <c r="G9" i="21"/>
  <c r="F9" i="21"/>
  <c r="E9" i="21"/>
  <c r="D9" i="21"/>
  <c r="H9" i="21" s="1"/>
  <c r="I9" i="21" s="1"/>
  <c r="C9" i="21"/>
  <c r="G8" i="21"/>
  <c r="F8" i="21"/>
  <c r="E8" i="21"/>
  <c r="D8" i="21"/>
  <c r="C8" i="21"/>
  <c r="G7" i="21"/>
  <c r="F7" i="21"/>
  <c r="E7" i="21"/>
  <c r="D7" i="21"/>
  <c r="C7" i="21"/>
  <c r="H7" i="21" s="1"/>
  <c r="I7" i="21" s="1"/>
  <c r="G6" i="21"/>
  <c r="F6" i="21"/>
  <c r="E6" i="21"/>
  <c r="D6" i="21"/>
  <c r="H6" i="21" s="1"/>
  <c r="I6" i="21" s="1"/>
  <c r="C6" i="21"/>
  <c r="G5" i="21"/>
  <c r="F5" i="21"/>
  <c r="E5" i="21"/>
  <c r="D5" i="21"/>
  <c r="C5" i="21"/>
  <c r="H5" i="21" s="1"/>
  <c r="I5" i="21" s="1"/>
  <c r="G4" i="21"/>
  <c r="F4" i="21"/>
  <c r="E4" i="21"/>
  <c r="D4" i="21"/>
  <c r="C4" i="21"/>
  <c r="H4" i="21" s="1"/>
  <c r="I4" i="21" s="1"/>
  <c r="G3" i="21"/>
  <c r="F3" i="21"/>
  <c r="E3" i="21"/>
  <c r="D3" i="21"/>
  <c r="C3" i="21"/>
  <c r="G2" i="21"/>
  <c r="F2" i="21"/>
  <c r="E2" i="21"/>
  <c r="D2" i="21"/>
  <c r="H2" i="21" s="1"/>
  <c r="I2" i="21" s="1"/>
  <c r="C2" i="21"/>
  <c r="I17" i="20"/>
  <c r="J17" i="20" s="1"/>
  <c r="H17" i="20"/>
  <c r="G17" i="20"/>
  <c r="F17" i="20"/>
  <c r="E17" i="20"/>
  <c r="H16" i="20"/>
  <c r="G16" i="20"/>
  <c r="F16" i="20"/>
  <c r="E16" i="20"/>
  <c r="H15" i="20"/>
  <c r="G15" i="20"/>
  <c r="F15" i="20"/>
  <c r="E15" i="20"/>
  <c r="I15" i="20" s="1"/>
  <c r="J15" i="20" s="1"/>
  <c r="H14" i="20"/>
  <c r="G14" i="20"/>
  <c r="F14" i="20"/>
  <c r="E14" i="20"/>
  <c r="H13" i="20"/>
  <c r="G13" i="20"/>
  <c r="F13" i="20"/>
  <c r="E13" i="20"/>
  <c r="I13" i="20" s="1"/>
  <c r="J13" i="20" s="1"/>
  <c r="H12" i="20"/>
  <c r="G12" i="20"/>
  <c r="F12" i="20"/>
  <c r="E12" i="20"/>
  <c r="H11" i="20"/>
  <c r="G11" i="20"/>
  <c r="F11" i="20"/>
  <c r="E11" i="20"/>
  <c r="I11" i="20" s="1"/>
  <c r="J11" i="20" s="1"/>
  <c r="H10" i="20"/>
  <c r="G10" i="20"/>
  <c r="F10" i="20"/>
  <c r="E10" i="20"/>
  <c r="H9" i="20"/>
  <c r="G9" i="20"/>
  <c r="F9" i="20"/>
  <c r="E9" i="20"/>
  <c r="I9" i="20" s="1"/>
  <c r="J9" i="20" s="1"/>
  <c r="H8" i="20"/>
  <c r="G8" i="20"/>
  <c r="F8" i="20"/>
  <c r="E8" i="20"/>
  <c r="H7" i="20"/>
  <c r="G7" i="20"/>
  <c r="F7" i="20"/>
  <c r="E7" i="20"/>
  <c r="I7" i="20" s="1"/>
  <c r="J7" i="20" s="1"/>
  <c r="H6" i="20"/>
  <c r="G6" i="20"/>
  <c r="F6" i="20"/>
  <c r="E6" i="20"/>
  <c r="I6" i="20" s="1"/>
  <c r="J6" i="20" s="1"/>
  <c r="H5" i="20"/>
  <c r="G5" i="20"/>
  <c r="F5" i="20"/>
  <c r="E5" i="20"/>
  <c r="H4" i="20"/>
  <c r="G4" i="20"/>
  <c r="F4" i="20"/>
  <c r="E4" i="20"/>
  <c r="H3" i="20"/>
  <c r="G3" i="20"/>
  <c r="F3" i="20"/>
  <c r="E3" i="20"/>
  <c r="I3" i="20" s="1"/>
  <c r="J3" i="20" s="1"/>
  <c r="H2" i="20"/>
  <c r="G2" i="20"/>
  <c r="F2" i="20"/>
  <c r="E2" i="20"/>
  <c r="H17" i="19"/>
  <c r="G17" i="19"/>
  <c r="F17" i="19"/>
  <c r="E17" i="19"/>
  <c r="O17" i="19" s="1"/>
  <c r="P17" i="19" s="1"/>
  <c r="N16" i="19"/>
  <c r="M16" i="19"/>
  <c r="L16" i="19"/>
  <c r="K16" i="19"/>
  <c r="J16" i="19"/>
  <c r="I16" i="19"/>
  <c r="H16" i="19"/>
  <c r="G16" i="19"/>
  <c r="F16" i="19"/>
  <c r="E16" i="19"/>
  <c r="N15" i="19"/>
  <c r="M15" i="19"/>
  <c r="L15" i="19"/>
  <c r="K15" i="19"/>
  <c r="J15" i="19"/>
  <c r="I15" i="19"/>
  <c r="H15" i="19"/>
  <c r="G15" i="19"/>
  <c r="F15" i="19"/>
  <c r="E15" i="19"/>
  <c r="N14" i="19"/>
  <c r="M14" i="19"/>
  <c r="L14" i="19"/>
  <c r="K14" i="19"/>
  <c r="J14" i="19"/>
  <c r="I14" i="19"/>
  <c r="H14" i="19"/>
  <c r="G14" i="19"/>
  <c r="F14" i="19"/>
  <c r="E14" i="19"/>
  <c r="O14" i="19" s="1"/>
  <c r="P14" i="19" s="1"/>
  <c r="N13" i="19"/>
  <c r="M13" i="19"/>
  <c r="L13" i="19"/>
  <c r="K13" i="19"/>
  <c r="J13" i="19"/>
  <c r="I13" i="19"/>
  <c r="H13" i="19"/>
  <c r="G13" i="19"/>
  <c r="F13" i="19"/>
  <c r="E13" i="19"/>
  <c r="M12" i="19"/>
  <c r="L12" i="19"/>
  <c r="J12" i="19"/>
  <c r="I12" i="19"/>
  <c r="H12" i="19"/>
  <c r="G12" i="19"/>
  <c r="F12" i="19"/>
  <c r="E12" i="19"/>
  <c r="N11" i="19"/>
  <c r="M11" i="19"/>
  <c r="L11" i="19"/>
  <c r="K11" i="19"/>
  <c r="J11" i="19"/>
  <c r="I11" i="19"/>
  <c r="H11" i="19"/>
  <c r="G11" i="19"/>
  <c r="F11" i="19"/>
  <c r="O11" i="19" s="1"/>
  <c r="P11" i="19" s="1"/>
  <c r="E11" i="19"/>
  <c r="M10" i="19"/>
  <c r="L10" i="19"/>
  <c r="K10" i="19"/>
  <c r="J10" i="19"/>
  <c r="I10" i="19"/>
  <c r="H10" i="19"/>
  <c r="G10" i="19"/>
  <c r="F10" i="19"/>
  <c r="E10" i="19"/>
  <c r="O10" i="19" s="1"/>
  <c r="P10" i="19" s="1"/>
  <c r="N9" i="19"/>
  <c r="M9" i="19"/>
  <c r="K9" i="19"/>
  <c r="J9" i="19"/>
  <c r="I9" i="19"/>
  <c r="H9" i="19"/>
  <c r="G9" i="19"/>
  <c r="F9" i="19"/>
  <c r="O9" i="19" s="1"/>
  <c r="P9" i="19" s="1"/>
  <c r="E9" i="19"/>
  <c r="I8" i="19"/>
  <c r="H8" i="19"/>
  <c r="G8" i="19"/>
  <c r="F8" i="19"/>
  <c r="E8" i="19"/>
  <c r="I7" i="19"/>
  <c r="H7" i="19"/>
  <c r="G7" i="19"/>
  <c r="F7" i="19"/>
  <c r="O7" i="19" s="1"/>
  <c r="P7" i="19" s="1"/>
  <c r="E7" i="19"/>
  <c r="M6" i="19"/>
  <c r="L6" i="19"/>
  <c r="K6" i="19"/>
  <c r="J6" i="19"/>
  <c r="O6" i="19" s="1"/>
  <c r="P6" i="19" s="1"/>
  <c r="H6" i="19"/>
  <c r="F6" i="19"/>
  <c r="E6" i="19"/>
  <c r="M5" i="19"/>
  <c r="H5" i="19"/>
  <c r="G5" i="19"/>
  <c r="F5" i="19"/>
  <c r="O5" i="19" s="1"/>
  <c r="P5" i="19" s="1"/>
  <c r="E5" i="19"/>
  <c r="I4" i="19"/>
  <c r="G4" i="19"/>
  <c r="F4" i="19"/>
  <c r="E4" i="19"/>
  <c r="O4" i="19" s="1"/>
  <c r="P4" i="19" s="1"/>
  <c r="N3" i="19"/>
  <c r="M3" i="19"/>
  <c r="J3" i="19"/>
  <c r="I3" i="19"/>
  <c r="H3" i="19"/>
  <c r="G3" i="19"/>
  <c r="F3" i="19"/>
  <c r="E3" i="19"/>
  <c r="O2" i="19"/>
  <c r="P2" i="19" s="1"/>
  <c r="G2" i="19"/>
  <c r="F2" i="19"/>
  <c r="E2" i="19"/>
  <c r="F19" i="18"/>
  <c r="E19" i="18"/>
  <c r="O19" i="18" s="1"/>
  <c r="P19" i="18" s="1"/>
  <c r="I18" i="18"/>
  <c r="H18" i="18"/>
  <c r="G18" i="18"/>
  <c r="F18" i="18"/>
  <c r="O18" i="18" s="1"/>
  <c r="P18" i="18" s="1"/>
  <c r="E18" i="18"/>
  <c r="O17" i="18"/>
  <c r="P17" i="18" s="1"/>
  <c r="G17" i="18"/>
  <c r="F17" i="18"/>
  <c r="E17" i="18"/>
  <c r="L16" i="18"/>
  <c r="K16" i="18"/>
  <c r="J16" i="18"/>
  <c r="I16" i="18"/>
  <c r="H16" i="18"/>
  <c r="F16" i="18"/>
  <c r="E16" i="18"/>
  <c r="O16" i="18" s="1"/>
  <c r="P16" i="18" s="1"/>
  <c r="J15" i="18"/>
  <c r="I15" i="18"/>
  <c r="H15" i="18"/>
  <c r="G15" i="18"/>
  <c r="F15" i="18"/>
  <c r="E15" i="18"/>
  <c r="M14" i="18"/>
  <c r="L14" i="18"/>
  <c r="K14" i="18"/>
  <c r="J14" i="18"/>
  <c r="H14" i="18"/>
  <c r="G14" i="18"/>
  <c r="F14" i="18"/>
  <c r="E14" i="18"/>
  <c r="O14" i="18" s="1"/>
  <c r="P14" i="18" s="1"/>
  <c r="N13" i="18"/>
  <c r="M13" i="18"/>
  <c r="L13" i="18"/>
  <c r="K13" i="18"/>
  <c r="J13" i="18"/>
  <c r="I13" i="18"/>
  <c r="H13" i="18"/>
  <c r="G13" i="18"/>
  <c r="F13" i="18"/>
  <c r="E13" i="18"/>
  <c r="N12" i="18"/>
  <c r="M12" i="18"/>
  <c r="L12" i="18"/>
  <c r="K12" i="18"/>
  <c r="J12" i="18"/>
  <c r="I12" i="18"/>
  <c r="H12" i="18"/>
  <c r="G12" i="18"/>
  <c r="F12" i="18"/>
  <c r="E12" i="18"/>
  <c r="N11" i="18"/>
  <c r="M11" i="18"/>
  <c r="L11" i="18"/>
  <c r="K11" i="18"/>
  <c r="J11" i="18"/>
  <c r="I11" i="18"/>
  <c r="H11" i="18"/>
  <c r="G11" i="18"/>
  <c r="F11" i="18"/>
  <c r="O11" i="18" s="1"/>
  <c r="P11" i="18" s="1"/>
  <c r="E11" i="18"/>
  <c r="N10" i="18"/>
  <c r="M10" i="18"/>
  <c r="L10" i="18"/>
  <c r="K10" i="18"/>
  <c r="I10" i="18"/>
  <c r="H10" i="18"/>
  <c r="G10" i="18"/>
  <c r="F10" i="18"/>
  <c r="E10" i="18"/>
  <c r="O10" i="18" s="1"/>
  <c r="P10" i="18" s="1"/>
  <c r="N9" i="18"/>
  <c r="M9" i="18"/>
  <c r="L9" i="18"/>
  <c r="K9" i="18"/>
  <c r="J9" i="18"/>
  <c r="I9" i="18"/>
  <c r="H9" i="18"/>
  <c r="G9" i="18"/>
  <c r="O9" i="18" s="1"/>
  <c r="P9" i="18" s="1"/>
  <c r="F9" i="18"/>
  <c r="E9" i="18"/>
  <c r="M8" i="18"/>
  <c r="L8" i="18"/>
  <c r="K8" i="18"/>
  <c r="J8" i="18"/>
  <c r="I8" i="18"/>
  <c r="H8" i="18"/>
  <c r="G8" i="18"/>
  <c r="F8" i="18"/>
  <c r="E8" i="18"/>
  <c r="O8" i="18" s="1"/>
  <c r="P8" i="18" s="1"/>
  <c r="N7" i="18"/>
  <c r="M7" i="18"/>
  <c r="L7" i="18"/>
  <c r="K7" i="18"/>
  <c r="J7" i="18"/>
  <c r="I7" i="18"/>
  <c r="H7" i="18"/>
  <c r="G7" i="18"/>
  <c r="F7" i="18"/>
  <c r="E7" i="18"/>
  <c r="M6" i="18"/>
  <c r="L6" i="18"/>
  <c r="K6" i="18"/>
  <c r="J6" i="18"/>
  <c r="I6" i="18"/>
  <c r="H6" i="18"/>
  <c r="G6" i="18"/>
  <c r="F6" i="18"/>
  <c r="E6" i="18"/>
  <c r="N5" i="18"/>
  <c r="M5" i="18"/>
  <c r="L5" i="18"/>
  <c r="K5" i="18"/>
  <c r="J5" i="18"/>
  <c r="I5" i="18"/>
  <c r="H5" i="18"/>
  <c r="G5" i="18"/>
  <c r="F5" i="18"/>
  <c r="E5" i="18"/>
  <c r="O5" i="18" s="1"/>
  <c r="P5" i="18" s="1"/>
  <c r="N4" i="18"/>
  <c r="M4" i="18"/>
  <c r="L4" i="18"/>
  <c r="K4" i="18"/>
  <c r="J4" i="18"/>
  <c r="I4" i="18"/>
  <c r="H4" i="18"/>
  <c r="G4" i="18"/>
  <c r="F4" i="18"/>
  <c r="E4" i="18"/>
  <c r="O4" i="18" s="1"/>
  <c r="P4" i="18" s="1"/>
  <c r="N3" i="18"/>
  <c r="M3" i="18"/>
  <c r="L3" i="18"/>
  <c r="K3" i="18"/>
  <c r="J3" i="18"/>
  <c r="I3" i="18"/>
  <c r="H3" i="18"/>
  <c r="G3" i="18"/>
  <c r="O3" i="18" s="1"/>
  <c r="P3" i="18" s="1"/>
  <c r="F3" i="18"/>
  <c r="E3" i="18"/>
  <c r="N2" i="18"/>
  <c r="M2" i="18"/>
  <c r="L2" i="18"/>
  <c r="K2" i="18"/>
  <c r="J2" i="18"/>
  <c r="I2" i="18"/>
  <c r="H2" i="18"/>
  <c r="G2" i="18"/>
  <c r="O2" i="18" s="1"/>
  <c r="P2" i="18" s="1"/>
  <c r="F2" i="18"/>
  <c r="E2" i="18"/>
  <c r="E18" i="17"/>
  <c r="D18" i="17"/>
  <c r="P18" i="17" s="1"/>
  <c r="Q18" i="17" s="1"/>
  <c r="L17" i="17"/>
  <c r="J17" i="17"/>
  <c r="I17" i="17"/>
  <c r="G17" i="17"/>
  <c r="F17" i="17"/>
  <c r="E17" i="17"/>
  <c r="P17" i="17" s="1"/>
  <c r="Q17" i="17" s="1"/>
  <c r="D17" i="17"/>
  <c r="K16" i="17"/>
  <c r="J16" i="17"/>
  <c r="H16" i="17"/>
  <c r="G16" i="17"/>
  <c r="F16" i="17"/>
  <c r="E16" i="17"/>
  <c r="D16" i="17"/>
  <c r="E15" i="17"/>
  <c r="D15" i="17"/>
  <c r="P15" i="17" s="1"/>
  <c r="Q15" i="17" s="1"/>
  <c r="M14" i="17"/>
  <c r="L14" i="17"/>
  <c r="K14" i="17"/>
  <c r="J14" i="17"/>
  <c r="I14" i="17"/>
  <c r="H14" i="17"/>
  <c r="G14" i="17"/>
  <c r="F14" i="17"/>
  <c r="E14" i="17"/>
  <c r="D14" i="17"/>
  <c r="K13" i="17"/>
  <c r="H13" i="17"/>
  <c r="G13" i="17"/>
  <c r="F13" i="17"/>
  <c r="E13" i="17"/>
  <c r="D13" i="17"/>
  <c r="P13" i="17" s="1"/>
  <c r="Q13" i="17" s="1"/>
  <c r="M12" i="17"/>
  <c r="L12" i="17"/>
  <c r="K12" i="17"/>
  <c r="J12" i="17"/>
  <c r="I12" i="17"/>
  <c r="H12" i="17"/>
  <c r="G12" i="17"/>
  <c r="F12" i="17"/>
  <c r="E12" i="17"/>
  <c r="P12" i="17" s="1"/>
  <c r="Q12" i="17" s="1"/>
  <c r="D12" i="17"/>
  <c r="M11" i="17"/>
  <c r="L11" i="17"/>
  <c r="K11" i="17"/>
  <c r="J11" i="17"/>
  <c r="I11" i="17"/>
  <c r="H11" i="17"/>
  <c r="G11" i="17"/>
  <c r="F11" i="17"/>
  <c r="P11" i="17" s="1"/>
  <c r="Q11" i="17" s="1"/>
  <c r="E11" i="17"/>
  <c r="D11" i="17"/>
  <c r="L10" i="17"/>
  <c r="I10" i="17"/>
  <c r="G10" i="17"/>
  <c r="F10" i="17"/>
  <c r="E10" i="17"/>
  <c r="D10" i="17"/>
  <c r="P10" i="17" s="1"/>
  <c r="Q10" i="17" s="1"/>
  <c r="M9" i="17"/>
  <c r="L9" i="17"/>
  <c r="K9" i="17"/>
  <c r="J9" i="17"/>
  <c r="I9" i="17"/>
  <c r="H9" i="17"/>
  <c r="G9" i="17"/>
  <c r="F9" i="17"/>
  <c r="E9" i="17"/>
  <c r="D9" i="17"/>
  <c r="P9" i="17" s="1"/>
  <c r="Q9" i="17" s="1"/>
  <c r="M8" i="17"/>
  <c r="L8" i="17"/>
  <c r="K8" i="17"/>
  <c r="J8" i="17"/>
  <c r="I8" i="17"/>
  <c r="H8" i="17"/>
  <c r="G8" i="17"/>
  <c r="F8" i="17"/>
  <c r="P8" i="17" s="1"/>
  <c r="Q8" i="17" s="1"/>
  <c r="E8" i="17"/>
  <c r="D8" i="17"/>
  <c r="M7" i="17"/>
  <c r="L7" i="17"/>
  <c r="K7" i="17"/>
  <c r="J7" i="17"/>
  <c r="I7" i="17"/>
  <c r="H7" i="17"/>
  <c r="G7" i="17"/>
  <c r="F7" i="17"/>
  <c r="E7" i="17"/>
  <c r="P7" i="17" s="1"/>
  <c r="Q7" i="17" s="1"/>
  <c r="D7" i="17"/>
  <c r="M6" i="17"/>
  <c r="L6" i="17"/>
  <c r="K6" i="17"/>
  <c r="H6" i="17"/>
  <c r="G6" i="17"/>
  <c r="F6" i="17"/>
  <c r="E6" i="17"/>
  <c r="D6" i="17"/>
  <c r="P5" i="17"/>
  <c r="Q5" i="17" s="1"/>
  <c r="I5" i="17"/>
  <c r="H5" i="17"/>
  <c r="G5" i="17"/>
  <c r="F5" i="17"/>
  <c r="E5" i="17"/>
  <c r="D5" i="17"/>
  <c r="M4" i="17"/>
  <c r="L4" i="17"/>
  <c r="K4" i="17"/>
  <c r="J4" i="17"/>
  <c r="I4" i="17"/>
  <c r="H4" i="17"/>
  <c r="G4" i="17"/>
  <c r="E4" i="17"/>
  <c r="P4" i="17" s="1"/>
  <c r="Q4" i="17" s="1"/>
  <c r="D4" i="17"/>
  <c r="M3" i="17"/>
  <c r="L3" i="17"/>
  <c r="K3" i="17"/>
  <c r="J3" i="17"/>
  <c r="I3" i="17"/>
  <c r="H3" i="17"/>
  <c r="G3" i="17"/>
  <c r="F3" i="17"/>
  <c r="E3" i="17"/>
  <c r="P3" i="17" s="1"/>
  <c r="Q3" i="17" s="1"/>
  <c r="D3" i="17"/>
  <c r="M2" i="17"/>
  <c r="L2" i="17"/>
  <c r="K2" i="17"/>
  <c r="I2" i="17"/>
  <c r="H2" i="17"/>
  <c r="G2" i="17"/>
  <c r="F2" i="17"/>
  <c r="E2" i="17"/>
  <c r="P2" i="17" s="1"/>
  <c r="Q2" i="17" s="1"/>
  <c r="D2" i="17"/>
  <c r="E20" i="16"/>
  <c r="D20" i="16"/>
  <c r="N20" i="16" s="1"/>
  <c r="O20" i="16" s="1"/>
  <c r="E19" i="16"/>
  <c r="N19" i="16" s="1"/>
  <c r="O19" i="16" s="1"/>
  <c r="D19" i="16"/>
  <c r="N18" i="16"/>
  <c r="O18" i="16" s="1"/>
  <c r="F18" i="16"/>
  <c r="E18" i="16"/>
  <c r="D18" i="16"/>
  <c r="L17" i="16"/>
  <c r="E17" i="16"/>
  <c r="D17" i="16"/>
  <c r="N17" i="16" s="1"/>
  <c r="O17" i="16" s="1"/>
  <c r="E16" i="16"/>
  <c r="D16" i="16"/>
  <c r="N16" i="16" s="1"/>
  <c r="O16" i="16" s="1"/>
  <c r="I15" i="16"/>
  <c r="H15" i="16"/>
  <c r="G15" i="16"/>
  <c r="E15" i="16"/>
  <c r="N15" i="16" s="1"/>
  <c r="O15" i="16" s="1"/>
  <c r="D15" i="16"/>
  <c r="M14" i="16"/>
  <c r="L14" i="16"/>
  <c r="K14" i="16"/>
  <c r="E14" i="16"/>
  <c r="D14" i="16"/>
  <c r="N14" i="16" s="1"/>
  <c r="O14" i="16" s="1"/>
  <c r="M13" i="16"/>
  <c r="K13" i="16"/>
  <c r="E13" i="16"/>
  <c r="D13" i="16"/>
  <c r="M12" i="16"/>
  <c r="J12" i="16"/>
  <c r="H12" i="16"/>
  <c r="G12" i="16"/>
  <c r="N12" i="16" s="1"/>
  <c r="O12" i="16" s="1"/>
  <c r="F12" i="16"/>
  <c r="E12" i="16"/>
  <c r="D12" i="16"/>
  <c r="M11" i="16"/>
  <c r="L11" i="16"/>
  <c r="K11" i="16"/>
  <c r="J11" i="16"/>
  <c r="H11" i="16"/>
  <c r="G11" i="16"/>
  <c r="F11" i="16"/>
  <c r="E11" i="16"/>
  <c r="D11" i="16"/>
  <c r="M10" i="16"/>
  <c r="L10" i="16"/>
  <c r="K10" i="16"/>
  <c r="I10" i="16"/>
  <c r="H10" i="16"/>
  <c r="G10" i="16"/>
  <c r="F10" i="16"/>
  <c r="E10" i="16"/>
  <c r="N10" i="16" s="1"/>
  <c r="O10" i="16" s="1"/>
  <c r="D10" i="16"/>
  <c r="M9" i="16"/>
  <c r="L9" i="16"/>
  <c r="K9" i="16"/>
  <c r="E9" i="16"/>
  <c r="D9" i="16"/>
  <c r="L8" i="16"/>
  <c r="I8" i="16"/>
  <c r="G8" i="16"/>
  <c r="F8" i="16"/>
  <c r="E8" i="16"/>
  <c r="N8" i="16" s="1"/>
  <c r="O8" i="16" s="1"/>
  <c r="D8" i="16"/>
  <c r="L7" i="16"/>
  <c r="J7" i="16"/>
  <c r="I7" i="16"/>
  <c r="H7" i="16"/>
  <c r="G7" i="16"/>
  <c r="F7" i="16"/>
  <c r="E7" i="16"/>
  <c r="D7" i="16"/>
  <c r="N7" i="16" s="1"/>
  <c r="O7" i="16" s="1"/>
  <c r="N6" i="16"/>
  <c r="O6" i="16" s="1"/>
  <c r="M6" i="16"/>
  <c r="L6" i="16"/>
  <c r="K6" i="16"/>
  <c r="J6" i="16"/>
  <c r="I6" i="16"/>
  <c r="H6" i="16"/>
  <c r="G6" i="16"/>
  <c r="F6" i="16"/>
  <c r="E6" i="16"/>
  <c r="D6" i="16"/>
  <c r="M5" i="16"/>
  <c r="L5" i="16"/>
  <c r="J5" i="16"/>
  <c r="I5" i="16"/>
  <c r="H5" i="16"/>
  <c r="G5" i="16"/>
  <c r="F5" i="16"/>
  <c r="E5" i="16"/>
  <c r="N5" i="16" s="1"/>
  <c r="O5" i="16" s="1"/>
  <c r="D5" i="16"/>
  <c r="M4" i="16"/>
  <c r="L4" i="16"/>
  <c r="J4" i="16"/>
  <c r="I4" i="16"/>
  <c r="H4" i="16"/>
  <c r="G4" i="16"/>
  <c r="F4" i="16"/>
  <c r="E4" i="16"/>
  <c r="D4" i="16"/>
  <c r="N4" i="16" s="1"/>
  <c r="O4" i="16" s="1"/>
  <c r="M3" i="16"/>
  <c r="L3" i="16"/>
  <c r="K3" i="16"/>
  <c r="J3" i="16"/>
  <c r="I3" i="16"/>
  <c r="H3" i="16"/>
  <c r="G3" i="16"/>
  <c r="F3" i="16"/>
  <c r="E3" i="16"/>
  <c r="D3" i="16"/>
  <c r="M2" i="16"/>
  <c r="L2" i="16"/>
  <c r="K2" i="16"/>
  <c r="J2" i="16"/>
  <c r="I2" i="16"/>
  <c r="H2" i="16"/>
  <c r="G2" i="16"/>
  <c r="F2" i="16"/>
  <c r="E2" i="16"/>
  <c r="D2" i="16"/>
  <c r="N2" i="16" s="1"/>
  <c r="O2" i="16" s="1"/>
  <c r="I19" i="15"/>
  <c r="H19" i="15"/>
  <c r="G19" i="15"/>
  <c r="E19" i="15"/>
  <c r="D19" i="15"/>
  <c r="J19" i="15" s="1"/>
  <c r="K19" i="15" s="1"/>
  <c r="H18" i="15"/>
  <c r="F18" i="15"/>
  <c r="E18" i="15"/>
  <c r="D18" i="15"/>
  <c r="J17" i="15"/>
  <c r="K17" i="15" s="1"/>
  <c r="H17" i="15"/>
  <c r="G17" i="15"/>
  <c r="F17" i="15"/>
  <c r="E17" i="15"/>
  <c r="D17" i="15"/>
  <c r="I16" i="15"/>
  <c r="H16" i="15"/>
  <c r="F16" i="15"/>
  <c r="E16" i="15"/>
  <c r="D16" i="15"/>
  <c r="H15" i="15"/>
  <c r="G15" i="15"/>
  <c r="F15" i="15"/>
  <c r="E15" i="15"/>
  <c r="D15" i="15"/>
  <c r="J15" i="15" s="1"/>
  <c r="K15" i="15" s="1"/>
  <c r="H14" i="15"/>
  <c r="G14" i="15"/>
  <c r="F14" i="15"/>
  <c r="E14" i="15"/>
  <c r="J14" i="15" s="1"/>
  <c r="K14" i="15" s="1"/>
  <c r="D14" i="15"/>
  <c r="H13" i="15"/>
  <c r="G13" i="15"/>
  <c r="F13" i="15"/>
  <c r="E13" i="15"/>
  <c r="D13" i="15"/>
  <c r="J13" i="15" s="1"/>
  <c r="K13" i="15" s="1"/>
  <c r="I12" i="15"/>
  <c r="H12" i="15"/>
  <c r="G12" i="15"/>
  <c r="F12" i="15"/>
  <c r="E12" i="15"/>
  <c r="J12" i="15" s="1"/>
  <c r="K12" i="15" s="1"/>
  <c r="D12" i="15"/>
  <c r="H11" i="15"/>
  <c r="G11" i="15"/>
  <c r="F11" i="15"/>
  <c r="E11" i="15"/>
  <c r="J11" i="15" s="1"/>
  <c r="K11" i="15" s="1"/>
  <c r="D11" i="15"/>
  <c r="H10" i="15"/>
  <c r="G10" i="15"/>
  <c r="F10" i="15"/>
  <c r="E10" i="15"/>
  <c r="I9" i="15"/>
  <c r="H9" i="15"/>
  <c r="G9" i="15"/>
  <c r="F9" i="15"/>
  <c r="E9" i="15"/>
  <c r="J9" i="15" s="1"/>
  <c r="K9" i="15" s="1"/>
  <c r="D9" i="15"/>
  <c r="H8" i="15"/>
  <c r="G8" i="15"/>
  <c r="F8" i="15"/>
  <c r="E8" i="15"/>
  <c r="D8" i="15"/>
  <c r="J8" i="15" s="1"/>
  <c r="K8" i="15" s="1"/>
  <c r="I7" i="15"/>
  <c r="H7" i="15"/>
  <c r="G7" i="15"/>
  <c r="F7" i="15"/>
  <c r="J7" i="15" s="1"/>
  <c r="K7" i="15" s="1"/>
  <c r="E7" i="15"/>
  <c r="D7" i="15"/>
  <c r="I6" i="15"/>
  <c r="H6" i="15"/>
  <c r="G6" i="15"/>
  <c r="F6" i="15"/>
  <c r="E6" i="15"/>
  <c r="J6" i="15" s="1"/>
  <c r="K6" i="15" s="1"/>
  <c r="D6" i="15"/>
  <c r="H5" i="15"/>
  <c r="G5" i="15"/>
  <c r="F5" i="15"/>
  <c r="E5" i="15"/>
  <c r="D5" i="15"/>
  <c r="J5" i="15" s="1"/>
  <c r="K5" i="15" s="1"/>
  <c r="I4" i="15"/>
  <c r="H4" i="15"/>
  <c r="G4" i="15"/>
  <c r="F4" i="15"/>
  <c r="E4" i="15"/>
  <c r="D4" i="15"/>
  <c r="H3" i="15"/>
  <c r="G3" i="15"/>
  <c r="F3" i="15"/>
  <c r="E3" i="15"/>
  <c r="D3" i="15"/>
  <c r="J3" i="15" s="1"/>
  <c r="K3" i="15" s="1"/>
  <c r="H2" i="15"/>
  <c r="G2" i="15"/>
  <c r="F2" i="15"/>
  <c r="E2" i="15"/>
  <c r="J2" i="15" s="1"/>
  <c r="K2" i="15" s="1"/>
  <c r="D2" i="15"/>
  <c r="E15" i="14"/>
  <c r="P15" i="14" s="1"/>
  <c r="Q15" i="14" s="1"/>
  <c r="D15" i="14"/>
  <c r="E14" i="14"/>
  <c r="P14" i="14" s="1"/>
  <c r="Q14" i="14" s="1"/>
  <c r="D14" i="14"/>
  <c r="O13" i="14"/>
  <c r="N13" i="14"/>
  <c r="M13" i="14"/>
  <c r="K13" i="14"/>
  <c r="J13" i="14"/>
  <c r="I13" i="14"/>
  <c r="E13" i="14"/>
  <c r="D13" i="14"/>
  <c r="O12" i="14"/>
  <c r="M12" i="14"/>
  <c r="L12" i="14"/>
  <c r="K12" i="14"/>
  <c r="J12" i="14"/>
  <c r="I12" i="14"/>
  <c r="F12" i="14"/>
  <c r="E12" i="14"/>
  <c r="D12" i="14"/>
  <c r="M11" i="14"/>
  <c r="L11" i="14"/>
  <c r="K11" i="14"/>
  <c r="J11" i="14"/>
  <c r="I11" i="14"/>
  <c r="H11" i="14"/>
  <c r="F11" i="14"/>
  <c r="E11" i="14"/>
  <c r="P11" i="14" s="1"/>
  <c r="Q11" i="14" s="1"/>
  <c r="D11" i="14"/>
  <c r="O10" i="14"/>
  <c r="N10" i="14"/>
  <c r="M10" i="14"/>
  <c r="J10" i="14"/>
  <c r="I10" i="14"/>
  <c r="H10" i="14"/>
  <c r="E10" i="14"/>
  <c r="D10" i="14"/>
  <c r="P10" i="14" s="1"/>
  <c r="Q10" i="14" s="1"/>
  <c r="N9" i="14"/>
  <c r="L9" i="14"/>
  <c r="K9" i="14"/>
  <c r="J9" i="14"/>
  <c r="I9" i="14"/>
  <c r="H9" i="14"/>
  <c r="G9" i="14"/>
  <c r="E9" i="14"/>
  <c r="D9" i="14"/>
  <c r="P9" i="14" s="1"/>
  <c r="Q9" i="14" s="1"/>
  <c r="O8" i="14"/>
  <c r="N8" i="14"/>
  <c r="M8" i="14"/>
  <c r="L8" i="14"/>
  <c r="J8" i="14"/>
  <c r="I8" i="14"/>
  <c r="H8" i="14"/>
  <c r="F8" i="14"/>
  <c r="E8" i="14"/>
  <c r="D8" i="14"/>
  <c r="P8" i="14" s="1"/>
  <c r="Q8" i="14" s="1"/>
  <c r="N7" i="14"/>
  <c r="M7" i="14"/>
  <c r="L7" i="14"/>
  <c r="K7" i="14"/>
  <c r="J7" i="14"/>
  <c r="I7" i="14"/>
  <c r="H7" i="14"/>
  <c r="G7" i="14"/>
  <c r="E7" i="14"/>
  <c r="D7" i="14"/>
  <c r="P7" i="14" s="1"/>
  <c r="Q7" i="14" s="1"/>
  <c r="O6" i="14"/>
  <c r="N6" i="14"/>
  <c r="M6" i="14"/>
  <c r="L6" i="14"/>
  <c r="K6" i="14"/>
  <c r="J6" i="14"/>
  <c r="I6" i="14"/>
  <c r="H6" i="14"/>
  <c r="G6" i="14"/>
  <c r="F6" i="14"/>
  <c r="E6" i="14"/>
  <c r="D6" i="14"/>
  <c r="P6" i="14" s="1"/>
  <c r="Q6" i="14" s="1"/>
  <c r="O5" i="14"/>
  <c r="N5" i="14"/>
  <c r="L5" i="14"/>
  <c r="K5" i="14"/>
  <c r="J5" i="14"/>
  <c r="I5" i="14"/>
  <c r="H5" i="14"/>
  <c r="G5" i="14"/>
  <c r="F5" i="14"/>
  <c r="P5" i="14" s="1"/>
  <c r="Q5" i="14" s="1"/>
  <c r="E5" i="14"/>
  <c r="D5" i="14"/>
  <c r="O4" i="14"/>
  <c r="N4" i="14"/>
  <c r="M4" i="14"/>
  <c r="L4" i="14"/>
  <c r="K4" i="14"/>
  <c r="J4" i="14"/>
  <c r="I4" i="14"/>
  <c r="F4" i="14"/>
  <c r="P4" i="14" s="1"/>
  <c r="Q4" i="14" s="1"/>
  <c r="E4" i="14"/>
  <c r="D4" i="14"/>
  <c r="O3" i="14"/>
  <c r="N3" i="14"/>
  <c r="M3" i="14"/>
  <c r="L3" i="14"/>
  <c r="K3" i="14"/>
  <c r="J3" i="14"/>
  <c r="I3" i="14"/>
  <c r="H3" i="14"/>
  <c r="G3" i="14"/>
  <c r="F3" i="14"/>
  <c r="E3" i="14"/>
  <c r="D3" i="14"/>
  <c r="P3" i="14" s="1"/>
  <c r="Q3" i="14" s="1"/>
  <c r="O2" i="14"/>
  <c r="N2" i="14"/>
  <c r="M2" i="14"/>
  <c r="L2" i="14"/>
  <c r="K2" i="14"/>
  <c r="J2" i="14"/>
  <c r="I2" i="14"/>
  <c r="H2" i="14"/>
  <c r="G2" i="14"/>
  <c r="F2" i="14"/>
  <c r="E2" i="14"/>
  <c r="D2" i="14"/>
  <c r="S16" i="13"/>
  <c r="P16" i="13"/>
  <c r="Q16" i="13" s="1"/>
  <c r="S15" i="13"/>
  <c r="P15" i="13"/>
  <c r="Q15" i="13" s="1"/>
  <c r="S14" i="13"/>
  <c r="P14" i="13"/>
  <c r="Q14" i="13" s="1"/>
  <c r="S13" i="13"/>
  <c r="Q13" i="13"/>
  <c r="P13" i="13"/>
  <c r="S12" i="13"/>
  <c r="P12" i="13"/>
  <c r="Q12" i="13" s="1"/>
  <c r="S11" i="13"/>
  <c r="P11" i="13"/>
  <c r="Q11" i="13" s="1"/>
  <c r="S10" i="13"/>
  <c r="P10" i="13"/>
  <c r="Q10" i="13" s="1"/>
  <c r="S9" i="13"/>
  <c r="Q9" i="13"/>
  <c r="P9" i="13"/>
  <c r="S8" i="13"/>
  <c r="P8" i="13"/>
  <c r="Q8" i="13" s="1"/>
  <c r="S7" i="13"/>
  <c r="Q7" i="13"/>
  <c r="P7" i="13"/>
  <c r="S6" i="13"/>
  <c r="P6" i="13"/>
  <c r="Q6" i="13" s="1"/>
  <c r="S5" i="13"/>
  <c r="Q5" i="13"/>
  <c r="P5" i="13"/>
  <c r="S4" i="13"/>
  <c r="Q4" i="13"/>
  <c r="P4" i="13"/>
  <c r="S3" i="13"/>
  <c r="P3" i="13"/>
  <c r="Q3" i="13" s="1"/>
  <c r="S2" i="13"/>
  <c r="P2" i="13"/>
  <c r="Q2" i="13" s="1"/>
  <c r="Q18" i="12"/>
  <c r="R18" i="12" s="1"/>
  <c r="Q17" i="12"/>
  <c r="R17" i="12" s="1"/>
  <c r="Q16" i="12"/>
  <c r="R16" i="12" s="1"/>
  <c r="Q15" i="12"/>
  <c r="R15" i="12" s="1"/>
  <c r="I15" i="12"/>
  <c r="R14" i="12"/>
  <c r="Q14" i="12"/>
  <c r="I13" i="12"/>
  <c r="Q13" i="12" s="1"/>
  <c r="R13" i="12" s="1"/>
  <c r="I12" i="12"/>
  <c r="Q12" i="12" s="1"/>
  <c r="R12" i="12" s="1"/>
  <c r="I11" i="12"/>
  <c r="Q11" i="12" s="1"/>
  <c r="R11" i="12" s="1"/>
  <c r="Q10" i="12"/>
  <c r="R10" i="12" s="1"/>
  <c r="J9" i="12"/>
  <c r="I9" i="12"/>
  <c r="Q9" i="12" s="1"/>
  <c r="R9" i="12" s="1"/>
  <c r="Q8" i="12"/>
  <c r="R8" i="12" s="1"/>
  <c r="I8" i="12"/>
  <c r="J7" i="12"/>
  <c r="I7" i="12"/>
  <c r="Q7" i="12" s="1"/>
  <c r="R7" i="12" s="1"/>
  <c r="N6" i="12"/>
  <c r="J6" i="12"/>
  <c r="I6" i="12"/>
  <c r="Q6" i="12" s="1"/>
  <c r="R6" i="12" s="1"/>
  <c r="I5" i="12"/>
  <c r="Q5" i="12" s="1"/>
  <c r="R5" i="12" s="1"/>
  <c r="I4" i="12"/>
  <c r="E4" i="12"/>
  <c r="H3" i="12"/>
  <c r="Q3" i="12" s="1"/>
  <c r="R3" i="12" s="1"/>
  <c r="J2" i="12"/>
  <c r="I2" i="12"/>
  <c r="H2" i="12"/>
  <c r="Q2" i="12" s="1"/>
  <c r="R2" i="12" s="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N25" i="9"/>
  <c r="Q25" i="9" s="1"/>
  <c r="Q24" i="9"/>
  <c r="N24" i="9"/>
  <c r="N23" i="9"/>
  <c r="Q23" i="9" s="1"/>
  <c r="Q22" i="9"/>
  <c r="N22" i="9"/>
  <c r="N21" i="9"/>
  <c r="Q21" i="9" s="1"/>
  <c r="Q20" i="9"/>
  <c r="N20" i="9"/>
  <c r="N19" i="9"/>
  <c r="Q19" i="9" s="1"/>
  <c r="Q18" i="9"/>
  <c r="N18" i="9"/>
  <c r="N17" i="9"/>
  <c r="Q17" i="9" s="1"/>
  <c r="Q16" i="9"/>
  <c r="N16" i="9"/>
  <c r="N15" i="9"/>
  <c r="Q15" i="9" s="1"/>
  <c r="W14" i="9"/>
  <c r="N14" i="9"/>
  <c r="Q14" i="9" s="1"/>
  <c r="N13" i="9"/>
  <c r="Q13" i="9" s="1"/>
  <c r="W12" i="9"/>
  <c r="N12" i="9"/>
  <c r="Q12" i="9" s="1"/>
  <c r="W11" i="9"/>
  <c r="N11" i="9"/>
  <c r="Q11" i="9" s="1"/>
  <c r="N10" i="9"/>
  <c r="Q10" i="9" s="1"/>
  <c r="W9" i="9"/>
  <c r="Q9" i="9"/>
  <c r="N9" i="9"/>
  <c r="W8" i="9"/>
  <c r="N8" i="9"/>
  <c r="Q8" i="9" s="1"/>
  <c r="W7" i="9"/>
  <c r="Q7" i="9"/>
  <c r="N7" i="9"/>
  <c r="W6" i="9"/>
  <c r="Q6" i="9"/>
  <c r="N6" i="9"/>
  <c r="W5" i="9"/>
  <c r="Q5" i="9"/>
  <c r="N5" i="9"/>
  <c r="W4" i="9"/>
  <c r="N4" i="9"/>
  <c r="Q4" i="9" s="1"/>
  <c r="W3" i="9"/>
  <c r="Q3" i="9"/>
  <c r="N3" i="9"/>
  <c r="W2" i="9"/>
  <c r="Q2" i="9"/>
  <c r="N2" i="9"/>
  <c r="L16" i="8"/>
  <c r="O16" i="8" s="1"/>
  <c r="O15" i="8"/>
  <c r="L15" i="8"/>
  <c r="L14" i="8"/>
  <c r="O14" i="8" s="1"/>
  <c r="O13" i="8"/>
  <c r="L13" i="8"/>
  <c r="L12" i="8"/>
  <c r="O12" i="8" s="1"/>
  <c r="O11" i="8"/>
  <c r="L11" i="8"/>
  <c r="L10" i="8"/>
  <c r="O10" i="8" s="1"/>
  <c r="O9" i="8"/>
  <c r="L9" i="8"/>
  <c r="L8" i="8"/>
  <c r="O8" i="8" s="1"/>
  <c r="O7" i="8"/>
  <c r="L7" i="8"/>
  <c r="L6" i="8"/>
  <c r="O6" i="8" s="1"/>
  <c r="O5" i="8"/>
  <c r="L5" i="8"/>
  <c r="L4" i="8"/>
  <c r="O4" i="8" s="1"/>
  <c r="O3" i="8"/>
  <c r="L3" i="8"/>
  <c r="L2" i="8"/>
  <c r="O2" i="8" s="1"/>
  <c r="O18" i="7"/>
  <c r="L18" i="7"/>
  <c r="L17" i="7"/>
  <c r="O17" i="7" s="1"/>
  <c r="O16" i="7"/>
  <c r="L16" i="7"/>
  <c r="L15" i="7"/>
  <c r="O15" i="7" s="1"/>
  <c r="O14" i="7"/>
  <c r="L14" i="7"/>
  <c r="L13" i="7"/>
  <c r="O13" i="7" s="1"/>
  <c r="O12" i="7"/>
  <c r="L12" i="7"/>
  <c r="L11" i="7"/>
  <c r="O11" i="7" s="1"/>
  <c r="O10" i="7"/>
  <c r="L10" i="7"/>
  <c r="L9" i="7"/>
  <c r="O9" i="7" s="1"/>
  <c r="O8" i="7"/>
  <c r="L8" i="7"/>
  <c r="L7" i="7"/>
  <c r="O7" i="7" s="1"/>
  <c r="O6" i="7"/>
  <c r="L6" i="7"/>
  <c r="L5" i="7"/>
  <c r="O5" i="7" s="1"/>
  <c r="O4" i="7"/>
  <c r="L4" i="7"/>
  <c r="L3" i="7"/>
  <c r="O3" i="7" s="1"/>
  <c r="O2" i="7"/>
  <c r="L2" i="7"/>
  <c r="L28" i="6"/>
  <c r="K27" i="6"/>
  <c r="L27" i="6" s="1"/>
  <c r="N25" i="6"/>
  <c r="L25" i="6"/>
  <c r="L24" i="6"/>
  <c r="N24" i="6" s="1"/>
  <c r="N23" i="6"/>
  <c r="L23" i="6"/>
  <c r="L22" i="6"/>
  <c r="N22" i="6" s="1"/>
  <c r="N21" i="6"/>
  <c r="L21" i="6"/>
  <c r="L20" i="6"/>
  <c r="N20" i="6" s="1"/>
  <c r="N19" i="6"/>
  <c r="L19" i="6"/>
  <c r="L18" i="6"/>
  <c r="N18" i="6" s="1"/>
  <c r="N17" i="6"/>
  <c r="L17" i="6"/>
  <c r="L16" i="6"/>
  <c r="N16" i="6" s="1"/>
  <c r="N15" i="6"/>
  <c r="L15" i="6"/>
  <c r="L14" i="6"/>
  <c r="N14" i="6" s="1"/>
  <c r="N13" i="6"/>
  <c r="L13" i="6"/>
  <c r="L12" i="6"/>
  <c r="N12" i="6" s="1"/>
  <c r="N11" i="6"/>
  <c r="L11" i="6"/>
  <c r="L10" i="6"/>
  <c r="N10" i="6" s="1"/>
  <c r="N9" i="6"/>
  <c r="L9" i="6"/>
  <c r="L8" i="6"/>
  <c r="N8" i="6" s="1"/>
  <c r="N7" i="6"/>
  <c r="L7" i="6"/>
  <c r="L6" i="6"/>
  <c r="N6" i="6" s="1"/>
  <c r="N5" i="6"/>
  <c r="L5" i="6"/>
  <c r="L4" i="6"/>
  <c r="N4" i="6" s="1"/>
  <c r="N3" i="6"/>
  <c r="L3" i="6"/>
  <c r="L2" i="6"/>
  <c r="N2" i="6" s="1"/>
  <c r="I110" i="5"/>
  <c r="H110" i="5"/>
  <c r="G110" i="5"/>
  <c r="L110" i="5" s="1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I112" i="4"/>
  <c r="L112" i="4" s="1"/>
  <c r="H112" i="4"/>
  <c r="G112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I112" i="3"/>
  <c r="L112" i="3" s="1"/>
  <c r="H112" i="3"/>
  <c r="G112" i="3"/>
  <c r="G16" i="3"/>
  <c r="L16" i="3" s="1"/>
  <c r="K15" i="3"/>
  <c r="G15" i="3"/>
  <c r="F15" i="3"/>
  <c r="L15" i="3" s="1"/>
  <c r="K14" i="3"/>
  <c r="H14" i="3"/>
  <c r="F14" i="3"/>
  <c r="L14" i="3" s="1"/>
  <c r="K13" i="3"/>
  <c r="J13" i="3"/>
  <c r="I13" i="3"/>
  <c r="H13" i="3"/>
  <c r="G13" i="3"/>
  <c r="F13" i="3"/>
  <c r="L13" i="3" s="1"/>
  <c r="L12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D11" i="3"/>
  <c r="L11" i="3" s="1"/>
  <c r="J10" i="3"/>
  <c r="H10" i="3"/>
  <c r="G10" i="3"/>
  <c r="F10" i="3"/>
  <c r="D10" i="3"/>
  <c r="L10" i="3" s="1"/>
  <c r="K9" i="3"/>
  <c r="J9" i="3"/>
  <c r="H9" i="3"/>
  <c r="G9" i="3"/>
  <c r="F9" i="3"/>
  <c r="L9" i="3" s="1"/>
  <c r="E9" i="3"/>
  <c r="D9" i="3"/>
  <c r="K8" i="3"/>
  <c r="J8" i="3"/>
  <c r="I8" i="3"/>
  <c r="H8" i="3"/>
  <c r="G8" i="3"/>
  <c r="F8" i="3"/>
  <c r="E8" i="3"/>
  <c r="D8" i="3"/>
  <c r="L8" i="3" s="1"/>
  <c r="L7" i="3"/>
  <c r="J7" i="3"/>
  <c r="I7" i="3"/>
  <c r="H7" i="3"/>
  <c r="G7" i="3"/>
  <c r="F7" i="3"/>
  <c r="E7" i="3"/>
  <c r="D7" i="3"/>
  <c r="J6" i="3"/>
  <c r="I6" i="3"/>
  <c r="H6" i="3"/>
  <c r="G6" i="3"/>
  <c r="L6" i="3" s="1"/>
  <c r="F6" i="3"/>
  <c r="D6" i="3"/>
  <c r="K5" i="3"/>
  <c r="J5" i="3"/>
  <c r="I5" i="3"/>
  <c r="H5" i="3"/>
  <c r="G5" i="3"/>
  <c r="F5" i="3"/>
  <c r="E5" i="3"/>
  <c r="D5" i="3"/>
  <c r="L5" i="3" s="1"/>
  <c r="K4" i="3"/>
  <c r="J4" i="3"/>
  <c r="H4" i="3"/>
  <c r="G4" i="3"/>
  <c r="L4" i="3" s="1"/>
  <c r="F4" i="3"/>
  <c r="E4" i="3"/>
  <c r="D4" i="3"/>
  <c r="L3" i="3"/>
  <c r="J3" i="3"/>
  <c r="I3" i="3"/>
  <c r="H3" i="3"/>
  <c r="F3" i="3"/>
  <c r="E3" i="3"/>
  <c r="D3" i="3"/>
  <c r="K2" i="3"/>
  <c r="I2" i="3"/>
  <c r="H2" i="3"/>
  <c r="F2" i="3"/>
  <c r="E2" i="3"/>
  <c r="L2" i="3" s="1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2" i="23" l="1"/>
  <c r="K2" i="23" s="1"/>
  <c r="J4" i="23"/>
  <c r="K4" i="23" s="1"/>
  <c r="J6" i="23"/>
  <c r="K6" i="23" s="1"/>
  <c r="J8" i="23"/>
  <c r="K8" i="23" s="1"/>
  <c r="J10" i="23"/>
  <c r="K10" i="23" s="1"/>
  <c r="J12" i="23"/>
  <c r="K12" i="23" s="1"/>
  <c r="J14" i="23"/>
  <c r="K14" i="23" s="1"/>
  <c r="J16" i="23"/>
  <c r="K16" i="23" s="1"/>
  <c r="J18" i="23"/>
  <c r="K18" i="23" s="1"/>
  <c r="J20" i="23"/>
  <c r="K20" i="23" s="1"/>
  <c r="J22" i="23"/>
  <c r="K22" i="23" s="1"/>
  <c r="J24" i="23"/>
  <c r="K24" i="23" s="1"/>
  <c r="J5" i="22"/>
  <c r="K5" i="22" s="1"/>
  <c r="J9" i="22"/>
  <c r="K9" i="22" s="1"/>
  <c r="J11" i="22"/>
  <c r="K11" i="22" s="1"/>
  <c r="J15" i="22"/>
  <c r="K15" i="22" s="1"/>
  <c r="J16" i="22"/>
  <c r="K16" i="22" s="1"/>
  <c r="J2" i="22"/>
  <c r="K2" i="22" s="1"/>
  <c r="J4" i="22"/>
  <c r="K4" i="22" s="1"/>
  <c r="J8" i="22"/>
  <c r="K8" i="22" s="1"/>
  <c r="J13" i="22"/>
  <c r="K13" i="22" s="1"/>
  <c r="J14" i="22"/>
  <c r="K14" i="22" s="1"/>
  <c r="J17" i="22"/>
  <c r="K17" i="22" s="1"/>
  <c r="J18" i="22"/>
  <c r="K18" i="22" s="1"/>
  <c r="J20" i="22"/>
  <c r="K20" i="22" s="1"/>
  <c r="O7" i="18"/>
  <c r="P7" i="18" s="1"/>
  <c r="O15" i="18"/>
  <c r="P15" i="18" s="1"/>
  <c r="O8" i="19"/>
  <c r="P8" i="19" s="1"/>
  <c r="I14" i="20"/>
  <c r="J14" i="20" s="1"/>
  <c r="H3" i="21"/>
  <c r="I3" i="21" s="1"/>
  <c r="H11" i="21"/>
  <c r="I11" i="21" s="1"/>
  <c r="H19" i="21"/>
  <c r="I19" i="21" s="1"/>
  <c r="J4" i="15"/>
  <c r="K4" i="15" s="1"/>
  <c r="J10" i="15"/>
  <c r="K10" i="15" s="1"/>
  <c r="J16" i="15"/>
  <c r="K16" i="15" s="1"/>
  <c r="N13" i="16"/>
  <c r="O13" i="16" s="1"/>
  <c r="O13" i="18"/>
  <c r="P13" i="18" s="1"/>
  <c r="O12" i="19"/>
  <c r="P12" i="19" s="1"/>
  <c r="I4" i="20"/>
  <c r="J4" i="20" s="1"/>
  <c r="I8" i="20"/>
  <c r="J8" i="20" s="1"/>
  <c r="H8" i="21"/>
  <c r="I8" i="21" s="1"/>
  <c r="H16" i="21"/>
  <c r="I16" i="21" s="1"/>
  <c r="J7" i="22"/>
  <c r="K7" i="22" s="1"/>
  <c r="P12" i="14"/>
  <c r="Q12" i="14" s="1"/>
  <c r="Q4" i="12"/>
  <c r="R4" i="12" s="1"/>
  <c r="P2" i="14"/>
  <c r="Q2" i="14" s="1"/>
  <c r="P13" i="14"/>
  <c r="Q13" i="14" s="1"/>
  <c r="N3" i="16"/>
  <c r="O3" i="16" s="1"/>
  <c r="N9" i="16"/>
  <c r="O9" i="16" s="1"/>
  <c r="N11" i="16"/>
  <c r="O11" i="16" s="1"/>
  <c r="P6" i="17"/>
  <c r="Q6" i="17" s="1"/>
  <c r="P14" i="17"/>
  <c r="Q14" i="17" s="1"/>
  <c r="O6" i="18"/>
  <c r="P6" i="18" s="1"/>
  <c r="O12" i="18"/>
  <c r="P12" i="18" s="1"/>
  <c r="O13" i="19"/>
  <c r="P13" i="19" s="1"/>
  <c r="O16" i="19"/>
  <c r="P16" i="19" s="1"/>
  <c r="I5" i="20"/>
  <c r="J5" i="20" s="1"/>
  <c r="I12" i="20"/>
  <c r="J12" i="20" s="1"/>
  <c r="I16" i="20"/>
  <c r="J16" i="20" s="1"/>
  <c r="J3" i="22"/>
  <c r="K3" i="22" s="1"/>
  <c r="J19" i="22"/>
  <c r="K19" i="22" s="1"/>
  <c r="J18" i="15"/>
  <c r="K18" i="15" s="1"/>
  <c r="P16" i="17"/>
  <c r="Q16" i="17" s="1"/>
  <c r="O3" i="19"/>
  <c r="P3" i="19" s="1"/>
  <c r="O15" i="19"/>
  <c r="P15" i="19" s="1"/>
  <c r="I2" i="20"/>
  <c r="J2" i="20" s="1"/>
  <c r="I10" i="20"/>
  <c r="J10" i="20" s="1"/>
</calcChain>
</file>

<file path=xl/comments1.xml><?xml version="1.0" encoding="utf-8"?>
<comments xmlns="http://schemas.openxmlformats.org/spreadsheetml/2006/main">
  <authors>
    <author/>
  </authors>
  <commentList>
    <comment ref="E1" authorId="0" shapeId="0">
      <text>
        <r>
          <rPr>
            <sz val="10"/>
            <rFont val="Arial Cyr"/>
            <family val="2"/>
            <charset val="204"/>
          </rPr>
          <t xml:space="preserve">Бали присуджуються у разі успішного проходження </t>
        </r>
        <r>
          <rPr>
            <i/>
            <sz val="12"/>
            <color rgb="FFE7FDFF"/>
            <rFont val="Arial Narrow"/>
            <family val="2"/>
            <charset val="1"/>
          </rPr>
          <t xml:space="preserve">всіх </t>
        </r>
        <r>
          <rPr>
            <sz val="12"/>
            <color rgb="FFE7FDFF"/>
            <rFont val="Arial Narrow"/>
            <family val="2"/>
            <charset val="1"/>
          </rPr>
          <t>попередніх тестів</t>
        </r>
      </text>
    </comment>
    <comment ref="G1" authorId="0" shapeId="0">
      <text>
        <r>
          <rPr>
            <sz val="12"/>
            <color rgb="FFE7FDFF"/>
            <rFont val="Arial Narrow"/>
            <family val="2"/>
            <charset val="1"/>
          </rPr>
          <t>Common - відповідь 0 зараховується у разі правильного проходження одного з двох попередніх двох тестыв (одного - 13 - для 14-15) з відповіддю, відмінною від 0;
Labirint - останній тест зараховано у разі успішного проходження всіх попередніх тестів</t>
        </r>
      </text>
    </comment>
    <comment ref="E2" authorId="0" shapeId="0">
      <text>
        <r>
          <rPr>
            <sz val="12"/>
            <color rgb="FFE7FDFF"/>
            <rFont val="Arial Narrow"/>
            <family val="2"/>
            <charset val="1"/>
          </rPr>
          <t>Камінці - 6-ий тест Stack overflow error</t>
        </r>
      </text>
    </comment>
    <comment ref="F2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Корінь - не пройдено тести:
5-8 - період (0);
11-12 -  час;  21-24 </t>
        </r>
      </text>
    </comment>
    <comment ref="I2" authorId="0" shapeId="0">
      <text>
        <r>
          <rPr>
            <sz val="12"/>
            <color rgb="FFE7FDFF"/>
            <rFont val="Arial Narrow"/>
            <family val="2"/>
            <charset val="1"/>
          </rPr>
          <t>Гра-1 - недотримано правила гри</t>
        </r>
      </text>
    </comment>
    <comment ref="K2" authorId="0" shapeId="0">
      <text>
        <r>
          <rPr>
            <sz val="12"/>
            <color rgb="FFE7FDFF"/>
            <rFont val="Arial Narrow"/>
            <family val="2"/>
            <charset val="1"/>
          </rPr>
          <t>Поверхня куба - неправильний формат відповіді</t>
        </r>
      </text>
    </comment>
    <comment ref="D3" authorId="0" shapeId="0">
      <text>
        <r>
          <rPr>
            <sz val="12"/>
            <color rgb="FFE7FDFF"/>
            <rFont val="Arial Narrow"/>
            <family val="2"/>
            <charset val="1"/>
          </rPr>
          <t>Мотель - переважно порожня відповідь
Тест - Range check error в останньому тесті</t>
        </r>
      </text>
    </comment>
    <comment ref="E3" authorId="0" shapeId="0">
      <text>
        <r>
          <rPr>
            <sz val="12"/>
            <color rgb="FFE7FDFF"/>
            <rFont val="Arial Narrow"/>
            <family val="2"/>
            <charset val="1"/>
          </rPr>
          <t>Камінці - проходиться лише тест 4</t>
        </r>
      </text>
    </comment>
    <comment ref="F3" authorId="0" shapeId="0">
      <text>
        <r>
          <rPr>
            <sz val="12"/>
            <color rgb="FFE7FDFF"/>
            <rFont val="Arial Narrow"/>
            <family val="2"/>
            <charset val="1"/>
          </rPr>
          <t>Корінь - пройдено лише перші 2 тести</t>
        </r>
      </text>
    </comment>
    <comment ref="G3" authorId="0" shapeId="0">
      <text>
        <r>
          <rPr>
            <sz val="12"/>
            <color rgb="FFE7FDFF"/>
            <rFont val="Arial Narrow"/>
            <family val="2"/>
            <charset val="1"/>
          </rPr>
          <t>Час - на грані</t>
        </r>
      </text>
    </comment>
    <comment ref="I3" authorId="0" shapeId="0">
      <text>
        <r>
          <rPr>
            <sz val="12"/>
            <color rgb="FFE7FDFF"/>
            <rFont val="Arial Narrow"/>
            <family val="2"/>
            <charset val="1"/>
          </rPr>
          <t>Гра-1 - не завжди дотримано правила гри</t>
        </r>
      </text>
    </comment>
    <comment ref="J3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Run time error на процедурі Dec</t>
        </r>
      </text>
    </comment>
    <comment ref="D4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Відсутній motel.pas. Range check error d останньому тесті test.pas.
</t>
        </r>
      </text>
    </comment>
    <comment ref="E4" authorId="0" shapeId="0">
      <text>
        <r>
          <rPr>
            <sz val="12"/>
            <color rgb="FFE7FDFF"/>
            <rFont val="Arial Narrow"/>
            <family val="2"/>
            <charset val="1"/>
          </rPr>
          <t>Офіцери - Перші 2 тести
Камінці - відсутня програма</t>
        </r>
      </text>
    </comment>
    <comment ref="G4" authorId="0" shapeId="0">
      <text>
        <r>
          <rPr>
            <sz val="12"/>
            <color rgb="FFE7FDFF"/>
            <rFont val="Arial Narrow"/>
            <family val="2"/>
            <charset val="1"/>
          </rPr>
          <t>Common - пройдено лише тести 1-6, 11, 13-15</t>
        </r>
      </text>
    </comment>
    <comment ref="I4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J4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помилка при компіляції</t>
        </r>
      </text>
    </comment>
    <comment ref="E5" authorId="0" shapeId="0">
      <text>
        <r>
          <rPr>
            <sz val="12"/>
            <color rgb="FFE7FDFF"/>
            <rFont val="Arial Narrow"/>
            <family val="2"/>
            <charset val="1"/>
          </rPr>
          <t>Камінці - неповна відповідь</t>
        </r>
      </text>
    </comment>
    <comment ref="F5" authorId="0" shapeId="0">
      <text>
        <r>
          <rPr>
            <sz val="12"/>
            <color rgb="FFE7FDFF"/>
            <rFont val="Arial Narrow"/>
            <family val="2"/>
            <charset val="1"/>
          </rPr>
          <t>Корінь - все без довгої арифметики</t>
        </r>
      </text>
    </comment>
    <comment ref="D6" authorId="0" shapeId="0">
      <text>
        <r>
          <rPr>
            <sz val="12"/>
            <color rgb="FFE7FDFF"/>
            <rFont val="Arial Narrow"/>
            <family val="2"/>
            <charset val="1"/>
          </rPr>
          <t>Мотель - переважно Runtime error
Тест - пройдено 1,2,4 повністю, 7 - частково</t>
        </r>
      </text>
    </comment>
    <comment ref="F6" authorId="0" shapeId="0">
      <text>
        <r>
          <rPr>
            <sz val="12"/>
            <color rgb="FFE7FDFF"/>
            <rFont val="Arial Narrow"/>
            <family val="2"/>
            <charset val="1"/>
          </rPr>
          <t>Сновида - відсутня програма</t>
        </r>
      </text>
    </comment>
    <comment ref="G6" authorId="0" shapeId="0">
      <text>
        <r>
          <rPr>
            <sz val="12"/>
            <color rgb="FFE7FDFF"/>
            <rFont val="Arial Narrow"/>
            <family val="2"/>
            <charset val="1"/>
          </rPr>
          <t>Common -правильна відповідь 0 лише в тестах 5-6, 11-12</t>
        </r>
      </text>
    </comment>
    <comment ref="J6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відсутня програма</t>
        </r>
      </text>
    </comment>
    <comment ref="K6" authorId="0" shapeId="0">
      <text>
        <r>
          <rPr>
            <sz val="12"/>
            <color rgb="FFE7FDFF"/>
            <rFont val="Arial Narrow"/>
            <family val="2"/>
            <charset val="1"/>
          </rPr>
          <t>Підпослідовність - відсутня програма</t>
        </r>
      </text>
    </comment>
    <comment ref="D7" authorId="0" shapeId="0">
      <text>
        <r>
          <rPr>
            <sz val="12"/>
            <color rgb="FFE7FDFF"/>
            <rFont val="Arial Narrow"/>
            <family val="2"/>
            <charset val="1"/>
          </rPr>
          <t>Мотель - відсутня програма
Тест - неправильна кількість різних фігур в останньому тесті</t>
        </r>
      </text>
    </comment>
    <comment ref="E7" authorId="0" shapeId="0">
      <text>
        <r>
          <rPr>
            <sz val="12"/>
            <color rgb="FFE7FDFF"/>
            <rFont val="Arial Narrow"/>
            <family val="2"/>
            <charset val="1"/>
          </rPr>
          <t>Камінці - всі тести Range check error</t>
        </r>
      </text>
    </comment>
    <comment ref="F7" authorId="0" shapeId="0">
      <text>
        <r>
          <rPr>
            <sz val="12"/>
            <color rgb="FFE7FDFF"/>
            <rFont val="Arial Narrow"/>
            <family val="2"/>
            <charset val="1"/>
          </rPr>
          <t>Сновида - є виведення на екран
Корінь - пройдено лише перші 2 тести</t>
        </r>
      </text>
    </comment>
    <comment ref="G7" authorId="0" shapeId="0">
      <text>
        <r>
          <rPr>
            <sz val="12"/>
            <color rgb="FFE7FDFF"/>
            <rFont val="Arial Narrow"/>
            <family val="2"/>
            <charset val="1"/>
          </rPr>
          <t>Common - лише тести 1, 3, 5-6</t>
        </r>
      </text>
    </comment>
    <comment ref="I7" authorId="0" shapeId="0">
      <text>
        <r>
          <rPr>
            <sz val="12"/>
            <color rgb="FFE7FDFF"/>
            <rFont val="Arial Narrow"/>
            <family val="2"/>
            <charset val="1"/>
          </rPr>
          <t>Гра-1 - є лише game1.dat</t>
        </r>
      </text>
    </comment>
    <comment ref="J7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відсутня програма</t>
        </r>
      </text>
    </comment>
    <comment ref="K7" authorId="0" shapeId="0">
      <text>
        <r>
          <rPr>
            <sz val="12"/>
            <color rgb="FFE7FDFF"/>
            <rFont val="Arial Narrow"/>
            <family val="2"/>
            <charset val="1"/>
          </rPr>
          <t>Порожні файли відповіді, для підпослідовності всі відповіді правильні</t>
        </r>
      </text>
    </comment>
    <comment ref="D8" authorId="0" shapeId="0">
      <text>
        <r>
          <rPr>
            <sz val="12"/>
            <color rgb="FFE7FDFF"/>
            <rFont val="Arial Narrow"/>
            <family val="2"/>
            <charset val="1"/>
          </rPr>
          <t>Мотель - відсутня програма</t>
        </r>
      </text>
    </comment>
    <comment ref="E8" authorId="0" shapeId="0">
      <text>
        <r>
          <rPr>
            <sz val="12"/>
            <color rgb="FFE7FDFF"/>
            <rFont val="Arial Narrow"/>
            <family val="2"/>
            <charset val="1"/>
          </rPr>
          <t>Офіцери - дуже довго,
Камінці - перші й останні два тести Range check error</t>
        </r>
      </text>
    </comment>
    <comment ref="F8" authorId="0" shapeId="0">
      <text>
        <r>
          <rPr>
            <sz val="12"/>
            <color rgb="FFE7FDFF"/>
            <rFont val="Arial Narrow"/>
            <family val="2"/>
            <charset val="1"/>
          </rPr>
          <t>Корінь - Invalid numeric format або помилка в останній цифрі відповіді</t>
        </r>
      </text>
    </comment>
    <comment ref="G8" authorId="0" shapeId="0">
      <text>
        <r>
          <rPr>
            <sz val="12"/>
            <color rgb="FFE7FDFF"/>
            <rFont val="Arial Narrow"/>
            <family val="2"/>
            <charset val="1"/>
          </rPr>
          <t>Common - помилка компіляції
Labirint - лише тест 3</t>
        </r>
      </text>
    </comment>
    <comment ref="I8" authorId="0" shapeId="0">
      <text>
        <r>
          <rPr>
            <sz val="12"/>
            <color rgb="FFE7FDFF"/>
            <rFont val="Arial Narrow"/>
            <family val="2"/>
            <charset val="1"/>
          </rPr>
          <t>Прогноз - перевернуте зображення, неможливість гри</t>
        </r>
      </text>
    </comment>
    <comment ref="J8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відсутня програма</t>
        </r>
      </text>
    </comment>
    <comment ref="K8" authorId="0" shapeId="0">
      <text>
        <r>
          <rPr>
            <sz val="12"/>
            <color rgb="FFE7FDFF"/>
            <rFont val="Arial Narrow"/>
            <family val="2"/>
            <charset val="1"/>
          </rPr>
          <t>Поверхня куба - відсутня програма</t>
        </r>
      </text>
    </comment>
    <comment ref="D9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Тест - неприпустиме виведення випадкових чисел
</t>
        </r>
      </text>
    </comment>
    <comment ref="F9" authorId="0" shapeId="0">
      <text>
        <r>
          <rPr>
            <sz val="12"/>
            <color rgb="FFE7FDFF"/>
            <rFont val="Arial Narrow"/>
            <family val="2"/>
            <charset val="1"/>
          </rPr>
          <t>Корінь - пройдено лише тест 6</t>
        </r>
      </text>
    </comment>
    <comment ref="G9" authorId="0" shapeId="0">
      <text>
        <r>
          <rPr>
            <sz val="12"/>
            <color rgb="FFE7FDFF"/>
            <rFont val="Arial Narrow"/>
            <family val="2"/>
            <charset val="1"/>
          </rPr>
          <t>Common - лише тести 3-6;
Labirint - лише тест3</t>
        </r>
      </text>
    </comment>
    <comment ref="H9" authorId="0" shapeId="0">
      <text>
        <r>
          <rPr>
            <sz val="12"/>
            <color rgb="FFE7FDFF"/>
            <rFont val="Arial Narrow"/>
            <family val="2"/>
            <charset val="1"/>
          </rPr>
          <t>Криптограма - Range check error + виведення на екран</t>
        </r>
      </text>
    </comment>
    <comment ref="I9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J9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відсутня програма</t>
        </r>
      </text>
    </comment>
    <comment ref="D10" authorId="0" shapeId="0">
      <text>
        <r>
          <rPr>
            <sz val="12"/>
            <color rgb="FFE7FDFF"/>
            <rFont val="Arial Narrow"/>
            <family val="2"/>
            <charset val="1"/>
          </rPr>
          <t>Мотель - відсутня програма</t>
        </r>
      </text>
    </comment>
    <comment ref="E10" authorId="0" shapeId="0">
      <text>
        <r>
          <rPr>
            <sz val="12"/>
            <color rgb="FFE7FDFF"/>
            <rFont val="Arial Narrow"/>
            <family val="2"/>
            <charset val="1"/>
          </rPr>
          <t>Офіцери - перші два тести не пройдено
Камінці - програма відсутня</t>
        </r>
      </text>
    </comment>
    <comment ref="F10" authorId="0" shapeId="0">
      <text>
        <r>
          <rPr>
            <sz val="12"/>
            <color rgb="FFE7FDFF"/>
            <rFont val="Arial Narrow"/>
            <family val="2"/>
            <charset val="1"/>
          </rPr>
          <t>Сновида - останні 2 тести не проходять за часом</t>
        </r>
      </text>
    </comment>
    <comment ref="I10" authorId="0" shapeId="0">
      <text>
        <r>
          <rPr>
            <sz val="12"/>
            <color rgb="FFE7FDFF"/>
            <rFont val="Arial Narrow"/>
            <family val="2"/>
            <charset val="1"/>
          </rPr>
          <t>Прогноз - Range check error</t>
        </r>
      </text>
    </comment>
    <comment ref="D11" authorId="0" shapeId="0">
      <text>
        <r>
          <rPr>
            <sz val="12"/>
            <color rgb="FFE7FDFF"/>
            <rFont val="Arial Narrow"/>
            <family val="2"/>
            <charset val="1"/>
          </rPr>
          <t>Мотель - відсутня програма
Тест - Range check error крім тесту 9</t>
        </r>
      </text>
    </comment>
    <comment ref="E11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Офіцери - 2-ий тест не проходить за часом
Камінці - 1-ий тест не пройдено
</t>
        </r>
      </text>
    </comment>
    <comment ref="F11" authorId="0" shapeId="0">
      <text>
        <r>
          <rPr>
            <sz val="12"/>
            <color rgb="FFE7FDFF"/>
            <rFont val="Arial Narrow"/>
            <family val="2"/>
            <charset val="1"/>
          </rPr>
          <t>Корінь - Invalid numeric format або неправильний формат відповіді</t>
        </r>
      </text>
    </comment>
    <comment ref="J11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Range check error</t>
        </r>
      </text>
    </comment>
    <comment ref="D12" authorId="0" shapeId="0">
      <text>
        <r>
          <rPr>
            <sz val="12"/>
            <color rgb="FFE7FDFF"/>
            <rFont val="Arial Narrow"/>
            <family val="2"/>
            <charset val="1"/>
          </rPr>
          <t>Помилка компіляції</t>
        </r>
      </text>
    </comment>
    <comment ref="E12" authorId="0" shapeId="0">
      <text>
        <r>
          <rPr>
            <sz val="12"/>
            <color rgb="FFE7FDFF"/>
            <rFont val="Arial Narrow"/>
            <family val="2"/>
            <charset val="1"/>
          </rPr>
          <t>Камінці - відсутня програма</t>
        </r>
      </text>
    </comment>
    <comment ref="F12" authorId="0" shapeId="0">
      <text>
        <r>
          <rPr>
            <sz val="12"/>
            <color rgb="FFE7FDFF"/>
            <rFont val="Arial Narrow"/>
            <family val="2"/>
            <charset val="1"/>
          </rPr>
          <t>Корінь - Invalid numeric format, порожній файл відповіді або наближення з надвишком</t>
        </r>
      </text>
    </comment>
    <comment ref="G12" authorId="0" shapeId="0">
      <text>
        <r>
          <rPr>
            <sz val="12"/>
            <color rgb="FFE7FDFF"/>
            <rFont val="Arial Narrow"/>
            <family val="2"/>
            <charset val="1"/>
          </rPr>
          <t>Common - відсутня програма</t>
        </r>
      </text>
    </comment>
    <comment ref="K12" authorId="0" shapeId="0">
      <text>
        <r>
          <rPr>
            <sz val="12"/>
            <color rgb="FFE7FDFF"/>
            <rFont val="Arial Narrow"/>
            <family val="2"/>
            <charset val="1"/>
          </rPr>
          <t>Поверхня куба - відсутня програма</t>
        </r>
      </text>
    </comment>
    <comment ref="D13" authorId="0" shapeId="0">
      <text>
        <r>
          <rPr>
            <sz val="12"/>
            <color rgb="FFE7FDFF"/>
            <rFont val="Arial Narrow"/>
            <family val="2"/>
            <charset val="1"/>
          </rPr>
          <t>Відсутні програми</t>
        </r>
      </text>
    </comment>
    <comment ref="E13" authorId="0" shapeId="0">
      <text>
        <r>
          <rPr>
            <sz val="12"/>
            <color rgb="FFE7FDFF"/>
            <rFont val="Arial Narrow"/>
            <family val="2"/>
            <charset val="1"/>
          </rPr>
          <t>Офіцери - 1-ий тест не проходить за часом + неправильний порядок виведення
Камінці - відсутня програма</t>
        </r>
      </text>
    </comment>
    <comment ref="I13" authorId="0" shapeId="0">
      <text>
        <r>
          <rPr>
            <sz val="12"/>
            <color rgb="FFE7FDFF"/>
            <rFont val="Arial Narrow"/>
            <family val="2"/>
            <charset val="1"/>
          </rPr>
          <t>Прогноз - відсутня програма
Гра-1 - треба перевірити графіку і правила гри</t>
        </r>
      </text>
    </comment>
    <comment ref="J13" authorId="0" shapeId="0">
      <text>
        <r>
          <rPr>
            <sz val="12"/>
            <color rgb="FFE7FDFF"/>
            <rFont val="Arial Narrow"/>
            <family val="2"/>
            <charset val="1"/>
          </rPr>
          <t>Множники - відсутня програма</t>
        </r>
      </text>
    </comment>
    <comment ref="D14" authorId="0" shapeId="0">
      <text>
        <r>
          <rPr>
            <sz val="12"/>
            <color rgb="FFE7FDFF"/>
            <rFont val="Arial Narrow"/>
            <family val="2"/>
            <charset val="1"/>
          </rPr>
          <t>Відсутні файли</t>
        </r>
      </text>
    </comment>
    <comment ref="E14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F14" authorId="0" shapeId="0">
      <text>
        <r>
          <rPr>
            <sz val="12"/>
            <color rgb="FFE7FDFF"/>
            <rFont val="Arial Narrow"/>
            <family val="2"/>
            <charset val="1"/>
          </rPr>
          <t>Корінь - відсутня програма</t>
        </r>
      </text>
    </comment>
    <comment ref="G14" authorId="0" shapeId="0">
      <text>
        <r>
          <rPr>
            <sz val="12"/>
            <color rgb="FFE7FDFF"/>
            <rFont val="Arial Narrow"/>
            <family val="2"/>
            <charset val="1"/>
          </rPr>
          <t>Common - відсутня програма</t>
        </r>
      </text>
    </comment>
    <comment ref="J14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K14" authorId="0" shapeId="0">
      <text>
        <r>
          <rPr>
            <sz val="12"/>
            <color rgb="FFE7FDFF"/>
            <rFont val="Arial Narrow"/>
            <family val="2"/>
            <charset val="1"/>
          </rPr>
          <t>Поверхня куба - выдсутня програма</t>
        </r>
      </text>
    </comment>
    <comment ref="D15" authorId="0" shapeId="0">
      <text>
        <r>
          <rPr>
            <sz val="12"/>
            <color rgb="FFE7FDFF"/>
            <rFont val="Arial Narrow"/>
            <family val="2"/>
            <charset val="1"/>
          </rPr>
          <t>Мотель і Тест - помилка компіляції</t>
        </r>
      </text>
    </comment>
    <comment ref="E15" authorId="0" shapeId="0">
      <text>
        <r>
          <rPr>
            <sz val="12"/>
            <color rgb="FFE7FDFF"/>
            <rFont val="Arial Narrow"/>
            <family val="2"/>
            <charset val="1"/>
          </rPr>
          <t>Офіцери - Range check error
Камінці - відсутня програма</t>
        </r>
      </text>
    </comment>
    <comment ref="F15" authorId="0" shapeId="0">
      <text>
        <r>
          <rPr>
            <sz val="12"/>
            <color rgb="FFE7FDFF"/>
            <rFont val="Arial Narrow"/>
            <family val="2"/>
            <charset val="1"/>
          </rPr>
          <t>Корінь - завелика або замала кількість цифр, пройдено лише тест 6</t>
        </r>
      </text>
    </comment>
    <comment ref="G15" authorId="0" shapeId="0">
      <text>
        <r>
          <rPr>
            <sz val="12"/>
            <color rgb="FFE7FDFF"/>
            <rFont val="Arial Narrow"/>
            <family val="2"/>
            <charset val="1"/>
          </rPr>
          <t>Common - відсутня програма
Labirint - час</t>
        </r>
      </text>
    </comment>
    <comment ref="H15" authorId="0" shapeId="0">
      <text>
        <r>
          <rPr>
            <sz val="12"/>
            <color rgb="FFE7FDFF"/>
            <rFont val="Arial Narrow"/>
            <family val="2"/>
            <charset val="1"/>
          </rPr>
          <t>Файли програм відсутні</t>
        </r>
      </text>
    </comment>
    <comment ref="I15" authorId="0" shapeId="0">
      <text>
        <r>
          <rPr>
            <sz val="12"/>
            <color rgb="FFE7FDFF"/>
            <rFont val="Arial Narrow"/>
            <family val="2"/>
            <charset val="1"/>
          </rPr>
          <t>Гра-1 - програма відсутня</t>
        </r>
      </text>
    </comment>
    <comment ref="J15" authorId="0" shapeId="0">
      <text>
        <r>
          <rPr>
            <sz val="12"/>
            <color rgb="FFE7FDFF"/>
            <rFont val="Arial Narrow"/>
            <family val="2"/>
            <charset val="1"/>
          </rPr>
          <t>Шашка на кубі - відсутня програма</t>
        </r>
      </text>
    </comment>
    <comment ref="K15" authorId="0" shapeId="0">
      <text>
        <r>
          <rPr>
            <sz val="12"/>
            <color rgb="FFE7FDFF"/>
            <rFont val="Arial Narrow"/>
            <family val="2"/>
            <charset val="1"/>
          </rPr>
          <t>Поверхня куба - відсутня програма</t>
        </r>
      </text>
    </comment>
    <comment ref="D16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Відсутній по хворобі
</t>
        </r>
      </text>
    </comment>
    <comment ref="E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F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H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I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J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K16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D112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E112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F112" authorId="0" shapeId="0">
      <text>
        <r>
          <rPr>
            <sz val="12"/>
            <color rgb="FFE7FDFF"/>
            <rFont val="Arial Narrow"/>
            <family val="2"/>
            <charset val="1"/>
          </rPr>
          <t>Корінь - є виведення на екран, не задовольняються вимоги за часом</t>
        </r>
      </text>
    </comment>
    <comment ref="G112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Labirint - у програмі S замість Ш </t>
        </r>
      </text>
    </comment>
    <comment ref="I112" authorId="0" shapeId="0">
      <text>
        <r>
          <rPr>
            <sz val="12"/>
            <color rgb="FFE7FDFF"/>
            <rFont val="Arial Narrow"/>
            <family val="2"/>
            <charset val="1"/>
          </rPr>
          <t>Гра-1 - відсутня програма</t>
        </r>
      </text>
    </comment>
    <comment ref="J112" authorId="0" shapeId="0">
      <text>
        <r>
          <rPr>
            <sz val="12"/>
            <color rgb="FFE7FDFF"/>
            <rFont val="Arial Narrow"/>
            <family val="2"/>
            <charset val="1"/>
          </rPr>
          <t>Дискваліфіковано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C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L3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P3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C5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C6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N6" authorId="0" shapeId="0">
      <text>
        <r>
          <rPr>
            <sz val="12"/>
            <color rgb="FFE7FDFF"/>
            <rFont val="Tahoma"/>
            <family val="2"/>
            <charset val="204"/>
          </rPr>
          <t>Задачу circle первірено з заміром часу з програми. Замість 5 присуджено 85 балів.  Не пройдено за часом тести 15, 18, 19.</t>
        </r>
      </text>
    </comment>
    <comment ref="C7" authorId="0" shapeId="0">
      <text>
        <r>
          <rPr>
            <sz val="12"/>
            <color rgb="FFE7FDFF"/>
            <rFont val="Arial Narrow"/>
            <family val="2"/>
            <charset val="204"/>
          </rPr>
          <t>Гімназія</t>
        </r>
      </text>
    </comment>
    <comment ref="N7" authorId="0" shapeId="0">
      <text>
        <r>
          <rPr>
            <sz val="12"/>
            <color rgb="FFE7FDFF"/>
            <rFont val="Tahoma"/>
            <family val="2"/>
            <charset val="204"/>
          </rPr>
          <t>Vacation перевірено при ручному замірі часу. Не пройдено тести 4, 5, 9, 10, 11 за вмістом.</t>
        </r>
      </text>
    </comment>
    <comment ref="C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C9" authorId="0" shapeId="0">
      <text>
        <r>
          <rPr>
            <sz val="12"/>
            <color rgb="FFE7FDFF"/>
            <rFont val="Tahoma"/>
            <family val="2"/>
            <charset val="204"/>
          </rPr>
          <t>Русанівський ліцей</t>
        </r>
      </text>
    </comment>
    <comment ref="O9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P9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C10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L10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P10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C11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C1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C14" authorId="0" shapeId="0">
      <text>
        <r>
          <rPr>
            <sz val="12"/>
            <color rgb="FFE7FDFF"/>
            <rFont val="Tahoma"/>
            <family val="2"/>
            <charset val="204"/>
          </rPr>
          <t>Спеціалізована школа</t>
        </r>
      </text>
    </comment>
    <comment ref="C15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S15" authorId="0" shapeId="0">
      <text>
        <r>
          <rPr>
            <sz val="12"/>
            <color rgb="FFE7FDFF"/>
            <rFont val="Tahoma"/>
            <family val="2"/>
            <charset val="204"/>
          </rPr>
          <t>переможець NetOI</t>
        </r>
      </text>
    </comment>
    <comment ref="C16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K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L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M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N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O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P16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C17" authorId="0" shapeId="0">
      <text>
        <r>
          <rPr>
            <sz val="12"/>
            <color rgb="FFE7FDFF"/>
            <rFont val="Tahoma"/>
            <family val="2"/>
            <charset val="204"/>
          </rPr>
          <t>Ліцей</t>
        </r>
      </text>
    </comment>
    <comment ref="G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H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I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J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K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L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M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N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O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P17" authorId="0" shapeId="0">
      <text>
        <r>
          <rPr>
            <sz val="12"/>
            <color rgb="FFE7FDFF"/>
            <rFont val="Tahoma"/>
            <family val="2"/>
            <charset val="204"/>
          </rPr>
          <t>Не з'явилася</t>
        </r>
      </text>
    </comment>
    <comment ref="C1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I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J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K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L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M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N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O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  <comment ref="P18" authorId="0" shapeId="0">
      <text>
        <r>
          <rPr>
            <sz val="12"/>
            <color rgb="FFE7FDFF"/>
            <rFont val="Tahoma"/>
            <family val="2"/>
            <charset val="204"/>
          </rPr>
          <t>Не з'явився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2"/>
            <color rgb="FFFFFFFF"/>
            <rFont val="Tahoma"/>
            <family val="2"/>
            <charset val="204"/>
          </rPr>
          <t>ліцей інформаційних технологій</t>
        </r>
      </text>
    </comment>
    <comment ref="B3" authorId="0" shapeId="0">
      <text>
        <r>
          <rPr>
            <sz val="12"/>
            <color rgb="FFFFFFFF"/>
            <rFont val="Tahoma"/>
            <family val="2"/>
            <charset val="204"/>
          </rPr>
          <t>Природничо-науковий ліцей</t>
        </r>
      </text>
    </comment>
    <comment ref="B5" authorId="0" shapeId="0">
      <text>
        <r>
          <rPr>
            <sz val="12"/>
            <color rgb="FFFFFFFF"/>
            <rFont val="Tahoma"/>
            <family val="2"/>
            <charset val="204"/>
          </rPr>
          <t xml:space="preserve">Ліцей "Наукова зміна"
</t>
        </r>
      </text>
    </comment>
    <comment ref="F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6" authorId="0" shapeId="0">
      <text>
        <r>
          <rPr>
            <sz val="12"/>
            <color rgb="FFFFFFFF"/>
            <rFont val="Tahoma"/>
            <family val="2"/>
            <charset val="204"/>
          </rPr>
          <t>Русанівський ліцей</t>
        </r>
      </text>
    </comment>
    <comment ref="F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7" authorId="0" shapeId="0">
      <text>
        <r>
          <rPr>
            <b/>
            <sz val="8"/>
            <color rgb="FFFFFFFF"/>
            <rFont val="Tahoma"/>
            <family val="2"/>
            <charset val="204"/>
          </rPr>
          <t>Києво-Печерський ліцей "Лідер"</t>
        </r>
      </text>
    </comment>
    <comment ref="B8" authorId="0" shapeId="0">
      <text>
        <r>
          <rPr>
            <b/>
            <sz val="8"/>
            <color rgb="FFFFFFFF"/>
            <rFont val="Tahoma"/>
            <family val="2"/>
            <charset val="204"/>
          </rPr>
          <t>Києво-Печерський ліцей "Лідер"</t>
        </r>
      </text>
    </comment>
    <comment ref="B9" authorId="0" shapeId="0">
      <text>
        <r>
          <rPr>
            <sz val="12"/>
            <color rgb="FFFFFFFF"/>
            <rFont val="Tahoma"/>
            <family val="2"/>
            <charset val="204"/>
          </rPr>
          <t xml:space="preserve">Ліцей "Наукова зміна"
</t>
        </r>
      </text>
    </comment>
    <comment ref="B10" authorId="0" shapeId="0">
      <text>
        <r>
          <rPr>
            <sz val="12"/>
            <color rgb="FFFFFFFF"/>
            <rFont val="Tahoma"/>
            <family val="2"/>
            <charset val="204"/>
          </rPr>
          <t xml:space="preserve">Ліцей "Наукова зміна"
</t>
        </r>
      </text>
    </comment>
    <comment ref="O10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11" authorId="0" shapeId="0">
      <text>
        <r>
          <rPr>
            <sz val="12"/>
            <color rgb="FFFFFFFF"/>
            <rFont val="Tahoma"/>
            <family val="2"/>
            <charset val="204"/>
          </rPr>
          <t>Ліцей № 157</t>
        </r>
      </text>
    </comment>
    <comment ref="K11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1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1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1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O11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12" authorId="0" shapeId="0">
      <text>
        <r>
          <rPr>
            <sz val="12"/>
            <color rgb="FFFFFFFF"/>
            <rFont val="Tahoma"/>
            <family val="2"/>
            <charset val="204"/>
          </rPr>
          <t xml:space="preserve">Ліцей "Наукова зміна"
</t>
        </r>
      </text>
    </comment>
    <comment ref="F12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F13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3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14" authorId="0" shapeId="0">
      <text>
        <r>
          <rPr>
            <sz val="12"/>
            <color rgb="FFFFFFFF"/>
            <rFont val="Arial Narrow"/>
            <family val="2"/>
            <charset val="204"/>
          </rPr>
          <t>Гімназія</t>
        </r>
      </text>
    </comment>
    <comment ref="F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15" authorId="0" shapeId="0">
      <text>
        <r>
          <rPr>
            <b/>
            <sz val="8"/>
            <color rgb="FFFFFFFF"/>
            <rFont val="Tahoma"/>
            <family val="2"/>
            <charset val="204"/>
          </rPr>
          <t>Києво-Печерський ліцей "Лідер"</t>
        </r>
      </text>
    </comment>
    <comment ref="F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5" authorId="0" shapeId="0">
      <text>
        <r>
          <rPr>
            <b/>
            <sz val="8"/>
            <color rgb="FF000000"/>
            <rFont val="Tahoma"/>
            <family val="2"/>
            <charset val="204"/>
          </rPr>
          <t>context.txt</t>
        </r>
      </text>
    </comment>
    <comment ref="O15" authorId="0" shapeId="0">
      <text>
        <r>
          <rPr>
            <b/>
            <sz val="8"/>
            <color rgb="FF000000"/>
            <rFont val="Tahoma"/>
            <family val="2"/>
            <charset val="204"/>
          </rPr>
          <t>context.txt</t>
        </r>
      </text>
    </comment>
    <comment ref="B16" authorId="0" shapeId="0">
      <text>
        <r>
          <rPr>
            <b/>
            <sz val="8"/>
            <color rgb="FFFFFFFF"/>
            <rFont val="Tahoma"/>
            <family val="2"/>
            <charset val="204"/>
          </rPr>
          <t>Києво-Печерський ліцей "Лідер"</t>
        </r>
      </text>
    </comment>
    <comment ref="F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O16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O1" authorId="0" shapeId="0">
      <text>
        <r>
          <rPr>
            <b/>
            <sz val="8"/>
            <color rgb="FF000000"/>
            <rFont val="Tahoma"/>
            <family val="2"/>
            <charset val="204"/>
          </rPr>
          <t>Перепровiрено з обмеженням на час 5 секунд для завдання nested (С - 2 секунди, Pascal - 5 секунд при одному алгоритмі)</t>
        </r>
      </text>
    </comment>
    <comment ref="F7" authorId="0" shapeId="0">
      <text>
        <r>
          <rPr>
            <sz val="12"/>
            <color rgb="FF000000"/>
            <rFont val="Tahoma"/>
            <family val="2"/>
            <charset val="204"/>
          </rPr>
          <t>Всі вихідні файли задачі rectang ідентичні й містять "No solution"</t>
        </r>
      </text>
    </comment>
    <comment ref="O7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8" authorId="0" shapeId="0">
      <text>
        <r>
          <rPr>
            <sz val="12"/>
            <color rgb="FF000000"/>
            <rFont val="Tahoma"/>
            <family val="2"/>
            <charset val="204"/>
          </rPr>
          <t xml:space="preserve">Неможливо зкомпылювати протягом 4 годин з параметром оптимызацыъ, передбаченим Порядком проведення
</t>
        </r>
      </text>
    </comment>
    <comment ref="L8" authorId="0" shapeId="0">
      <text>
        <r>
          <rPr>
            <sz val="12"/>
            <color rgb="FF000000"/>
            <rFont val="Tahoma"/>
            <family val="2"/>
            <charset val="204"/>
          </rPr>
          <t>Нестійкість роботи convol внаслідок виходу за межі масиву. Тому 6 балів за цю задачу анульовано.</t>
        </r>
      </text>
    </comment>
    <comment ref="R8" authorId="0" shapeId="0">
      <text>
        <r>
          <rPr>
            <sz val="12"/>
            <color rgb="FF000000"/>
            <rFont val="Tahoma"/>
            <family val="2"/>
            <charset val="204"/>
          </rPr>
          <t>Згідно з результатами NetOI</t>
        </r>
      </text>
    </comment>
    <comment ref="O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F10" authorId="0" shapeId="0">
      <text>
        <r>
          <rPr>
            <sz val="12"/>
            <color rgb="FF000000"/>
            <rFont val="Tahoma"/>
            <family val="2"/>
            <charset val="204"/>
          </rPr>
          <t>Всі вихідні файли задачі rectang ідентичні й містять "No solution"</t>
        </r>
      </text>
    </comment>
    <comment ref="G10" authorId="0" shapeId="0">
      <text>
        <r>
          <rPr>
            <sz val="12"/>
            <color rgb="FF000000"/>
            <rFont val="Tahoma"/>
            <family val="2"/>
            <charset val="204"/>
          </rPr>
          <t>Всі вихідні файли задачі game ідентичні й містять 2 порожні рядки, як і задумано учасником.</t>
        </r>
      </text>
    </comment>
    <comment ref="M10" authorId="0" shapeId="0">
      <text>
        <r>
          <rPr>
            <sz val="12"/>
            <color rgb="FF000000"/>
            <rFont val="Tahoma"/>
            <family val="2"/>
            <charset val="204"/>
          </rPr>
          <t>Перепровірено:
+20 балів за "Шаховий клуб"</t>
        </r>
      </text>
    </comment>
    <comment ref="N11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O11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G12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H12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O12" authorId="0" shapeId="0">
      <text>
        <r>
          <rPr>
            <sz val="12"/>
            <color rgb="FF000000"/>
            <rFont val="Tahoma"/>
            <family val="2"/>
            <charset val="204"/>
          </rPr>
          <t>NESTED: стале виведення на всіх тестах</t>
        </r>
      </text>
    </comment>
    <comment ref="F13" authorId="0" shapeId="0">
      <text>
        <r>
          <rPr>
            <sz val="12"/>
            <color rgb="FF000000"/>
            <rFont val="Tahoma"/>
            <family val="2"/>
            <charset val="204"/>
          </rPr>
          <t>Всі вихідні файли задачі rectang ідентичні й містять "No solution"</t>
        </r>
      </text>
    </comment>
    <comment ref="O13" authorId="0" shapeId="0">
      <text>
        <r>
          <rPr>
            <sz val="12"/>
            <color rgb="FF000000"/>
            <rFont val="Tahoma"/>
            <family val="2"/>
            <charset val="204"/>
          </rPr>
          <t>FARBEN та NESTED - стале виведення на всіх тестах</t>
        </r>
      </text>
    </comment>
    <comment ref="F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H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O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H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O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2"/>
            <color rgb="FF000000"/>
            <rFont val="Tahoma"/>
            <family val="2"/>
            <charset val="204"/>
          </rPr>
          <t>Ново печерська школа</t>
        </r>
      </text>
    </comment>
    <comment ref="L12" authorId="0" shapeId="0">
      <text>
        <r>
          <rPr>
            <sz val="12"/>
            <color rgb="FF000000"/>
            <rFont val="Tahoma"/>
            <family val="2"/>
            <charset val="204"/>
          </rPr>
          <t>Як 1 місце на IV етапі минулого року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K4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B5" authorId="0" shapeId="0">
      <text>
        <r>
          <rPr>
            <sz val="12"/>
            <color rgb="FF000000"/>
            <rFont val="Tahoma"/>
            <family val="2"/>
            <charset val="204"/>
          </rPr>
          <t>Ново печерська школа</t>
        </r>
      </text>
    </comment>
    <comment ref="B8" authorId="0" shapeId="0">
      <text>
        <r>
          <rPr>
            <sz val="12"/>
            <color rgb="FF000000"/>
            <rFont val="Tahoma"/>
            <family val="2"/>
            <charset val="204"/>
          </rPr>
          <t>гімназія "Анадемія"</t>
        </r>
      </text>
    </comment>
    <comment ref="K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M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F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K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L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M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F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G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H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I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J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K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L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M16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B17" authorId="0" shapeId="0">
      <text>
        <r>
          <rPr>
            <sz val="12"/>
            <color rgb="FF000000"/>
            <rFont val="Tahoma"/>
            <family val="2"/>
            <charset val="204"/>
          </rPr>
          <t>СШ № 194 "Перспектива"</t>
        </r>
      </text>
    </comment>
    <comment ref="M17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G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H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I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J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K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L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M18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L19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M19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J2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5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K5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L5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M5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B7" authorId="0" shapeId="0">
      <text>
        <r>
          <rPr>
            <sz val="12"/>
            <color rgb="FF000000"/>
            <rFont val="Tahoma"/>
            <family val="2"/>
            <charset val="204"/>
          </rPr>
          <t>СШ</t>
        </r>
      </text>
    </comment>
    <comment ref="K8" authorId="0" shapeId="0">
      <text>
        <r>
          <rPr>
            <sz val="12"/>
            <color rgb="FF000000"/>
            <rFont val="Tahoma"/>
            <family val="2"/>
            <charset val="204"/>
          </rPr>
          <t xml:space="preserve">+ 3 за тести 8, 10, 15, де у відповіді учасника закінчення подано великими літерами учасника </t>
        </r>
      </text>
    </comment>
    <comment ref="A14" authorId="0" shapeId="0">
      <text>
        <r>
          <rPr>
            <sz val="12"/>
            <color rgb="FF000000"/>
            <rFont val="Tahoma"/>
            <family val="2"/>
            <charset val="204"/>
          </rPr>
          <t>1 місце на IV етапі минулого року</t>
        </r>
      </text>
    </comment>
    <comment ref="J14" authorId="0" shapeId="0">
      <text>
        <r>
          <rPr>
            <sz val="12"/>
            <color rgb="FF000000"/>
            <rFont val="Tahoma"/>
            <family val="2"/>
            <charset val="204"/>
          </rPr>
          <t xml:space="preserve">Файл сhemie надійшов окремим листом 2017-02-16 19:11, перевірено 2017-02-20 </t>
        </r>
      </text>
    </comment>
    <comment ref="F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H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6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B18" authorId="0" shapeId="0">
      <text>
        <r>
          <rPr>
            <sz val="12"/>
            <color rgb="FF000000"/>
            <rFont val="Tahoma"/>
            <family val="2"/>
            <charset val="204"/>
          </rPr>
          <t>гімназія "Анадемія"</t>
        </r>
      </text>
    </comment>
    <comment ref="F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G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H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2"/>
            <color rgb="FF000000"/>
            <rFont val="Tahoma"/>
            <family val="2"/>
            <charset val="204"/>
          </rPr>
          <t>СШ</t>
        </r>
      </text>
    </comment>
    <comment ref="B4" authorId="0" shapeId="0">
      <text>
        <r>
          <rPr>
            <sz val="12"/>
            <color rgb="FF000000"/>
            <rFont val="Tahoma"/>
            <family val="2"/>
            <charset val="1"/>
          </rPr>
          <t>ліцей</t>
        </r>
      </text>
    </comment>
    <comment ref="J4" authorId="0" shapeId="0">
      <text>
        <r>
          <rPr>
            <sz val="12"/>
            <color rgb="FF000000"/>
            <rFont val="Tahoma"/>
            <family val="2"/>
            <charset val="204"/>
          </rPr>
          <t>Переглянуто  оцінювання таких  тестів family (закінчення): 1 3 4 7 8 9 10 15 16 17 18 21 22 25 26 28 30 36 45 49 52 53 56 59 62 65 66 75 76 82 83 84 85 88 90</t>
        </r>
      </text>
    </comment>
    <comment ref="J6" authorId="0" shapeId="0">
      <text>
        <r>
          <rPr>
            <sz val="12"/>
            <color rgb="FF000000"/>
            <rFont val="Tahoma"/>
            <family val="2"/>
            <charset val="204"/>
          </rPr>
          <t>Переглянуто тести family  (закінчення):
3,4,7,8,10,15,16,17,18,21,22,25,26,30,36,45,49,53,56,65,66,75,76,84,90</t>
        </r>
      </text>
    </comment>
    <comment ref="N6" authorId="0" shapeId="0">
      <text>
        <r>
          <rPr>
            <sz val="12"/>
            <color rgb="FF000000"/>
            <rFont val="Tahoma"/>
            <family val="2"/>
            <charset val="204"/>
          </rPr>
          <t>Дискваліфіковано</t>
        </r>
      </text>
    </comment>
    <comment ref="J7" authorId="0" shapeId="0">
      <text>
        <r>
          <rPr>
            <sz val="12"/>
            <color rgb="FF000000"/>
            <rFont val="Tahoma"/>
            <family val="2"/>
            <charset val="204"/>
          </rPr>
          <t>Переглянуто оцінку за тест 32 family (закінчення)</t>
        </r>
      </text>
    </comment>
    <comment ref="N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A10" authorId="0" shapeId="0">
      <text>
        <r>
          <rPr>
            <sz val="12"/>
            <color rgb="FF000000"/>
            <rFont val="Tahoma"/>
            <family val="2"/>
            <charset val="204"/>
          </rPr>
          <t>I місце на IV етапі минулого року</t>
        </r>
      </text>
    </comment>
    <comment ref="N12" authorId="0" shapeId="0">
      <text>
        <r>
          <rPr>
            <sz val="12"/>
            <color rgb="FF000000"/>
            <rFont val="Tahoma"/>
            <family val="2"/>
            <charset val="204"/>
          </rPr>
          <t>Апеляція по задачі nested 50% за порушення технічних вимог</t>
        </r>
      </text>
    </comment>
    <comment ref="I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4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5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6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N16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H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I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J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K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L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M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N17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J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8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B19" authorId="0" shapeId="0">
      <text>
        <r>
          <rPr>
            <sz val="11"/>
            <color rgb="FF000000"/>
            <rFont val="Tahoma"/>
            <family val="2"/>
            <charset val="1"/>
          </rPr>
          <t>Київська інженерна гімназія</t>
        </r>
      </text>
    </comment>
    <comment ref="H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I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J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K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L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M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  <comment ref="N19" authorId="0" shapeId="0">
      <text>
        <r>
          <rPr>
            <sz val="12"/>
            <color rgb="FF000000"/>
            <rFont val="Tahoma"/>
            <family val="2"/>
            <charset val="204"/>
          </rPr>
          <t>Відсутній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N3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H4" authorId="0" shapeId="0">
      <text>
        <r>
          <rPr>
            <sz val="12"/>
            <color rgb="FF000000"/>
            <rFont val="Tahoma"/>
            <family val="2"/>
            <charset val="204"/>
          </rPr>
          <t>Еквівалентна відповідь party 2</t>
        </r>
      </text>
    </comment>
    <comment ref="H6" authorId="0" shapeId="0">
      <text>
        <r>
          <rPr>
            <sz val="12"/>
            <color rgb="FF000000"/>
            <rFont val="Tahoma"/>
            <family val="2"/>
            <charset val="204"/>
          </rPr>
          <t>Еквівалентна відповідь party 2</t>
        </r>
      </text>
    </comment>
    <comment ref="M9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L14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M14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N14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J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K15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L15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M15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N15" authorId="0" shapeId="0">
      <text>
        <r>
          <rPr>
            <sz val="12"/>
            <color rgb="FF000000"/>
            <rFont val="Tahoma"/>
            <family val="2"/>
            <charset val="204"/>
          </rPr>
          <t>Не з'явилася</t>
        </r>
      </text>
    </comment>
    <comment ref="I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J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K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L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M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N16" authorId="0" shapeId="0">
      <text>
        <r>
          <rPr>
            <sz val="12"/>
            <color rgb="FF000000"/>
            <rFont val="Tahoma"/>
            <family val="2"/>
            <charset val="204"/>
          </rPr>
          <t>Не з'явився</t>
        </r>
      </text>
    </comment>
    <comment ref="H17" authorId="0" shapeId="0">
      <text>
        <r>
          <rPr>
            <sz val="12"/>
            <color rgb="FF000000"/>
            <rFont val="Tahoma"/>
            <family val="2"/>
            <charset val="204"/>
          </rPr>
          <t>Дискваліфіковано за наявність смартфону на робочому місці під час виконання завдання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E17" authorId="0" shapeId="0">
      <text>
        <r>
          <rPr>
            <sz val="8"/>
            <color rgb="FF000000"/>
            <rFont val="Tahoma"/>
            <family val="2"/>
            <charset val="204"/>
          </rPr>
          <t>відсутній</t>
        </r>
      </text>
    </comment>
    <comment ref="F17" authorId="0" shapeId="0">
      <text>
        <r>
          <rPr>
            <sz val="8"/>
            <color rgb="FF000000"/>
            <rFont val="Tahoma"/>
            <family val="2"/>
            <charset val="204"/>
          </rPr>
          <t>відсутній</t>
        </r>
      </text>
    </comment>
    <comment ref="G17" authorId="0" shapeId="0">
      <text>
        <r>
          <rPr>
            <sz val="8"/>
            <color rgb="FF000000"/>
            <rFont val="Tahoma"/>
            <family val="2"/>
            <charset val="204"/>
          </rPr>
          <t>відсутній</t>
        </r>
      </text>
    </comment>
    <comment ref="H17" authorId="0" shapeId="0">
      <text>
        <r>
          <rPr>
            <sz val="8"/>
            <color rgb="FF000000"/>
            <rFont val="Tahoma"/>
            <family val="2"/>
            <charset val="204"/>
          </rPr>
          <t>відсутній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J3" authorId="0" shapeId="0">
      <text>
        <r>
          <rPr>
            <sz val="12"/>
            <color rgb="FF000000"/>
            <rFont val="Tahoma"/>
            <family val="2"/>
            <charset val="204"/>
          </rPr>
          <t>Як переможець Інтернет-олімпіади</t>
        </r>
      </text>
    </comment>
    <comment ref="J4" authorId="0" shapeId="0">
      <text>
        <r>
          <rPr>
            <sz val="12"/>
            <color rgb="FF000000"/>
            <rFont val="Tahoma"/>
            <family val="2"/>
            <charset val="204"/>
          </rPr>
          <t>Як переможець Інтернет-олімпіади</t>
        </r>
      </text>
    </comment>
    <comment ref="J6" authorId="0" shapeId="0">
      <text>
        <r>
          <rPr>
            <sz val="12"/>
            <color rgb="FF000000"/>
            <rFont val="Tahoma"/>
            <family val="2"/>
            <charset val="204"/>
          </rPr>
          <t>Як переможець Інтернет-олімпіади</t>
        </r>
      </text>
    </comment>
    <comment ref="J8" authorId="0" shapeId="0">
      <text>
        <r>
          <rPr>
            <sz val="12"/>
            <color rgb="FF000000"/>
            <rFont val="Tahoma"/>
            <family val="2"/>
            <charset val="204"/>
          </rPr>
          <t>Як переможець Інтернет-олімпіади</t>
        </r>
      </text>
    </comment>
    <comment ref="A15" authorId="0" shapeId="0">
      <text>
        <r>
          <rPr>
            <sz val="12"/>
            <color rgb="FF000000"/>
            <rFont val="Arial Narrow"/>
            <family val="2"/>
            <charset val="204"/>
          </rPr>
          <t>Не брав участі у ІІ етапі внаслідок ускладнення після щеплення проти COVID19</t>
        </r>
      </text>
    </comment>
    <comment ref="E20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F20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G20" authorId="0" shapeId="0">
      <text>
        <r>
          <rPr>
            <sz val="12"/>
            <color rgb="FF000000"/>
            <rFont val="Tahoma"/>
            <family val="2"/>
            <charset val="204"/>
          </rPr>
          <t>Відсутня</t>
        </r>
      </text>
    </comment>
    <comment ref="F21" authorId="0" shapeId="0">
      <text>
        <r>
          <rPr>
            <sz val="10"/>
            <rFont val="Arial Cyr"/>
            <family val="2"/>
            <charset val="204"/>
          </rPr>
          <t>Позбавлено права участі після виявлення на 40-ій хвилині смартфону у кишені</t>
        </r>
        <r>
          <rPr>
            <b/>
            <sz val="9"/>
            <color rgb="FF000000"/>
            <rFont val="Tahoma"/>
            <charset val="1"/>
          </rPr>
          <t xml:space="preserve">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12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E112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F112" authorId="0" shapeId="0">
      <text>
        <r>
          <rPr>
            <sz val="12"/>
            <color rgb="FFE7FDFF"/>
            <rFont val="Arial Narrow"/>
            <family val="2"/>
            <charset val="1"/>
          </rPr>
          <t>Корінь - є виведення на екран, не задовольняються вимоги за часом</t>
        </r>
      </text>
    </comment>
    <comment ref="G112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Labirint - у програмі S замість Ш </t>
        </r>
      </text>
    </comment>
    <comment ref="I112" authorId="0" shapeId="0">
      <text>
        <r>
          <rPr>
            <sz val="12"/>
            <color rgb="FFE7FDFF"/>
            <rFont val="Arial Narrow"/>
            <family val="2"/>
            <charset val="1"/>
          </rPr>
          <t>Гра-1 - відсутня програма</t>
        </r>
      </text>
    </comment>
    <comment ref="J112" authorId="0" shapeId="0">
      <text>
        <r>
          <rPr>
            <sz val="12"/>
            <color rgb="FFE7FDFF"/>
            <rFont val="Arial Narrow"/>
            <family val="2"/>
            <charset val="1"/>
          </rPr>
          <t>Дискваліфіковано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L5" authorId="0" shapeId="0">
      <text>
        <r>
          <rPr>
            <sz val="10"/>
            <rFont val="Arial"/>
            <family val="2"/>
            <charset val="1"/>
          </rPr>
          <t>І місце на IV етапі минулого року</t>
        </r>
      </text>
    </comment>
    <comment ref="L7" authorId="0" shapeId="0">
      <text>
        <r>
          <rPr>
            <sz val="10"/>
            <rFont val="Arial"/>
            <family val="2"/>
            <charset val="1"/>
          </rPr>
          <t>І місце на IV етапі минулого року</t>
        </r>
      </text>
    </comment>
    <comment ref="L20" authorId="0" shapeId="0">
      <text>
        <r>
          <rPr>
            <sz val="10"/>
            <rFont val="Arial"/>
            <family val="2"/>
            <charset val="1"/>
          </rPr>
          <t>І місце на IV етапі минулого року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L4" authorId="0" shapeId="0">
      <text>
        <r>
          <rPr>
            <sz val="10"/>
            <rFont val="Arial"/>
            <family val="2"/>
            <charset val="1"/>
          </rPr>
          <t>І місце на IV етапі минулого року</t>
        </r>
      </text>
    </comment>
    <comment ref="L23" authorId="0" shapeId="0">
      <text>
        <r>
          <rPr>
            <sz val="10"/>
            <rFont val="Arial"/>
            <family val="2"/>
            <charset val="1"/>
          </rPr>
          <t>І місце на IV етапі минулого року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F2" authorId="0" shapeId="0">
      <text>
        <r>
          <rPr>
            <sz val="14"/>
            <color rgb="FFE7FDFF"/>
            <rFont val="Times New Roman"/>
            <family val="1"/>
            <charset val="1"/>
          </rPr>
          <t>Виведення на екран</t>
        </r>
      </text>
    </comment>
    <comment ref="B3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J3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B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5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7" authorId="0" shapeId="0">
      <text>
        <r>
          <rPr>
            <b/>
            <sz val="8"/>
            <color rgb="FFE7FDFF"/>
            <rFont val="Tahoma"/>
            <family val="2"/>
            <charset val="204"/>
          </rPr>
          <t>ПЛ НТУУ "КПІ"</t>
        </r>
      </text>
    </comment>
    <comment ref="B8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F8" authorId="0" shapeId="0">
      <text>
        <r>
          <rPr>
            <sz val="14"/>
            <color rgb="FFE7FDFF"/>
            <rFont val="Times New Roman"/>
            <family val="1"/>
            <charset val="1"/>
          </rPr>
          <t>Зависання на тесті 1 privat</t>
        </r>
      </text>
    </comment>
    <comment ref="B9" authorId="0" shapeId="0">
      <text>
        <r>
          <rPr>
            <b/>
            <sz val="8"/>
            <color rgb="FFE7FDFF"/>
            <rFont val="Tahoma"/>
            <family val="2"/>
            <charset val="204"/>
          </rPr>
          <t>Гімназія</t>
        </r>
      </text>
    </comment>
    <comment ref="F9" authorId="0" shapeId="0">
      <text>
        <r>
          <rPr>
            <sz val="14"/>
            <color rgb="FFE7FDFF"/>
            <rFont val="Times New Roman"/>
            <family val="1"/>
            <charset val="1"/>
          </rPr>
          <t>Зависання на тесті 4 privat</t>
        </r>
      </text>
    </comment>
    <comment ref="B10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12" authorId="0" shapeId="0">
      <text>
        <r>
          <rPr>
            <b/>
            <sz val="8"/>
            <color rgb="FFE7FDFF"/>
            <rFont val="Tahoma"/>
            <family val="2"/>
            <charset val="204"/>
          </rPr>
          <t>Русанівський ліцей</t>
        </r>
      </text>
    </comment>
    <comment ref="B13" authorId="0" shapeId="0">
      <text>
        <r>
          <rPr>
            <b/>
            <sz val="8"/>
            <color rgb="FFE7FDFF"/>
            <rFont val="Tahoma"/>
            <family val="2"/>
            <charset val="204"/>
          </rPr>
          <t>ліцей "Поділ"</t>
        </r>
      </text>
    </comment>
    <comment ref="E13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F13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H13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14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 каталог</t>
        </r>
      </text>
    </comment>
    <comment ref="F15" authorId="0" shapeId="0">
      <text>
        <r>
          <rPr>
            <sz val="14"/>
            <color rgb="FFE7FDFF"/>
            <rFont val="Times New Roman"/>
            <family val="1"/>
            <charset val="1"/>
          </rPr>
          <t>Помилка компіляції solid Зависання на тесті 4 privat</t>
        </r>
      </text>
    </comment>
    <comment ref="J15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K15" authorId="0" shapeId="0">
      <text>
        <r>
          <rPr>
            <sz val="14"/>
            <color rgb="FFE7FDFF"/>
            <rFont val="Times New Roman"/>
            <family val="1"/>
            <charset val="1"/>
          </rPr>
          <t>Відсутній</t>
        </r>
      </text>
    </comment>
    <comment ref="D110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E110" authorId="0" shapeId="0">
      <text>
        <r>
          <rPr>
            <sz val="12"/>
            <color rgb="FFE7FDFF"/>
            <rFont val="Arial Narrow"/>
            <family val="2"/>
            <charset val="1"/>
          </rPr>
          <t>Відсутній</t>
        </r>
      </text>
    </comment>
    <comment ref="F110" authorId="0" shapeId="0">
      <text>
        <r>
          <rPr>
            <sz val="12"/>
            <color rgb="FFE7FDFF"/>
            <rFont val="Arial Narrow"/>
            <family val="2"/>
            <charset val="1"/>
          </rPr>
          <t>Корінь - є виведення на екран, не задовольняються вимоги за часом</t>
        </r>
      </text>
    </comment>
    <comment ref="G110" authorId="0" shapeId="0">
      <text>
        <r>
          <rPr>
            <sz val="12"/>
            <color rgb="FFE7FDFF"/>
            <rFont val="Arial Narrow"/>
            <family val="2"/>
            <charset val="1"/>
          </rPr>
          <t xml:space="preserve">Labirint - у програмі S замість Ш </t>
        </r>
      </text>
    </comment>
    <comment ref="I110" authorId="0" shapeId="0">
      <text>
        <r>
          <rPr>
            <sz val="12"/>
            <color rgb="FFE7FDFF"/>
            <rFont val="Arial Narrow"/>
            <family val="2"/>
            <charset val="1"/>
          </rPr>
          <t>Гра-1 - відсутня програма</t>
        </r>
      </text>
    </comment>
    <comment ref="J110" authorId="0" shapeId="0">
      <text>
        <r>
          <rPr>
            <sz val="12"/>
            <color rgb="FFE7FDFF"/>
            <rFont val="Arial Narrow"/>
            <family val="2"/>
            <charset val="1"/>
          </rPr>
          <t>Дискваліфіковано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G1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Результати першого тестування двічі враховували тести 3-4</t>
        </r>
      </text>
    </comment>
    <comment ref="B2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3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4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M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5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B6" authorId="0" shapeId="0">
      <text>
        <r>
          <rPr>
            <b/>
            <sz val="8"/>
            <color rgb="FFE7FDFF"/>
            <rFont val="Tahoma"/>
            <family val="2"/>
            <charset val="204"/>
          </rPr>
          <t>Гімназія</t>
        </r>
      </text>
    </comment>
    <comment ref="B7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H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9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F9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I9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J9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M9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10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1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A12" authorId="0" shapeId="0">
      <text>
        <r>
          <rPr>
            <sz val="12"/>
            <color rgb="FFE7FDFF"/>
            <rFont val="Arial"/>
            <family val="2"/>
            <charset val="204"/>
          </rPr>
          <t>Явне використання відомостей про вихідні файли</t>
        </r>
      </text>
    </comment>
    <comment ref="B12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D12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13" authorId="0" shapeId="0">
      <text>
        <r>
          <rPr>
            <sz val="12"/>
            <color rgb="FFE7FDFF"/>
            <rFont val="Arial Cyr"/>
            <family val="2"/>
            <charset val="204"/>
          </rPr>
          <t>Український колеж ім. В.О.Сухомлинського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A15" authorId="0" shapeId="0">
      <text>
        <r>
          <rPr>
            <sz val="12"/>
            <color rgb="FFE7FDFF"/>
            <rFont val="Arial"/>
            <family val="2"/>
            <charset val="204"/>
          </rPr>
          <t>Явне використання відомостей про вихідні файли</t>
        </r>
      </text>
    </comment>
    <comment ref="B15" authorId="0" shapeId="0">
      <text>
        <r>
          <rPr>
            <b/>
            <sz val="8"/>
            <color rgb="FFE7FDFF"/>
            <rFont val="Tahoma"/>
            <family val="2"/>
            <charset val="204"/>
          </rPr>
          <t>Гімназія</t>
        </r>
      </text>
    </comment>
    <comment ref="B16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17" authorId="0" shapeId="0">
      <text>
        <r>
          <rPr>
            <b/>
            <sz val="8"/>
            <color rgb="FFE7FDFF"/>
            <rFont val="Tahoma"/>
            <family val="2"/>
            <charset val="204"/>
          </rPr>
          <t>Русанівський ліцей</t>
        </r>
      </text>
    </comment>
    <comment ref="I1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18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19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D19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20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21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I21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M22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M23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2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H2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I2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J2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K2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M24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2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G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H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I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J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K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M25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26" authorId="0" shapeId="0">
      <text>
        <r>
          <rPr>
            <b/>
            <sz val="8"/>
            <color rgb="FFE7FDFF"/>
            <rFont val="Tahoma"/>
            <family val="2"/>
            <charset val="204"/>
          </rPr>
          <t>Ліцей</t>
        </r>
      </text>
    </comment>
    <comment ref="D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E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F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G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H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I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J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K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L26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B2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E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F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G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H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I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J27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Відсутній</t>
        </r>
      </text>
    </comment>
    <comment ref="A28" authorId="0" shapeId="0">
      <text>
        <r>
          <rPr>
            <b/>
            <sz val="12"/>
            <color rgb="FFE7FDFF"/>
            <rFont val="Times New Roman"/>
            <family val="1"/>
            <charset val="204"/>
          </rPr>
          <t>Дискваліфіковано за наявність на другому турі роздруківки апрограми tax.pas</t>
        </r>
      </text>
    </comment>
    <comment ref="B28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2" authorId="0" shapeId="0">
      <text>
        <r>
          <rPr>
            <b/>
            <sz val="8"/>
            <color rgb="FFE7FDFF"/>
            <rFont val="Tahoma"/>
            <family val="2"/>
            <charset val="204"/>
          </rPr>
          <t>Гімназія</t>
        </r>
      </text>
    </comment>
    <comment ref="B3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4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7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9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0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12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13" authorId="0" shapeId="0">
      <text>
        <r>
          <rPr>
            <b/>
            <sz val="8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14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1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M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N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3" authorId="0" shapeId="0">
      <text>
        <r>
          <rPr>
            <sz val="12"/>
            <color rgb="FFE7FDFF"/>
            <rFont val="Tahoma"/>
            <family val="2"/>
            <charset val="204"/>
          </rPr>
          <t>NetOI</t>
        </r>
      </text>
    </comment>
    <comment ref="B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9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0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E11" authorId="0" shapeId="0">
      <text>
        <r>
          <rPr>
            <sz val="12"/>
            <color rgb="FFE7FDFF"/>
            <rFont val="Tahoma"/>
            <family val="2"/>
            <charset val="204"/>
          </rPr>
          <t>Відсутня</t>
        </r>
      </text>
    </comment>
    <comment ref="B1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3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H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N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5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E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15" authorId="0" shapeId="0">
      <text>
        <r>
          <rPr>
            <sz val="12"/>
            <color rgb="FFE7FDFF"/>
            <rFont val="Tahoma"/>
            <family val="2"/>
            <charset val="204"/>
          </rPr>
          <t>Пішов, попрацювавши  годину</t>
        </r>
      </text>
    </comment>
    <comment ref="G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6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F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H2" authorId="0" shapeId="0">
      <text>
        <r>
          <rPr>
            <sz val="12"/>
            <color rgb="FFE7FDFF"/>
            <rFont val="Tahoma"/>
            <family val="2"/>
            <charset val="204"/>
          </rPr>
          <t>Проапельовано тест 32 задачі Сім'я (-й не є закінченням)</t>
        </r>
      </text>
    </comment>
    <comment ref="B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H3" authorId="0" shapeId="0">
      <text>
        <r>
          <rPr>
            <sz val="12"/>
            <color rgb="FFE7FDFF"/>
            <rFont val="Tahoma"/>
            <family val="2"/>
            <charset val="204"/>
          </rPr>
          <t>Проапельовано тест 32 задачі Сім'я (-й не є закінченням)</t>
        </r>
      </text>
    </comment>
    <comment ref="L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H4" authorId="0" shapeId="0">
      <text>
        <r>
          <rPr>
            <sz val="12"/>
            <color rgb="FFE7FDFF"/>
            <rFont val="Tahoma"/>
            <family val="2"/>
            <charset val="204"/>
          </rPr>
          <t>Переоцінено у зв'язку з особливостями роботи Turbo C++ (збільшено час роботи на 44% після аналізу коду програми). Прецедент - у 2008 роцi з Петрашко.</t>
        </r>
      </text>
    </comment>
    <comment ref="B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6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I8" authorId="0" shapeId="0">
      <text>
        <r>
          <rPr>
            <sz val="12"/>
            <color rgb="FFE7FDFF"/>
            <rFont val="Tahoma"/>
            <family val="2"/>
            <charset val="204"/>
          </rPr>
          <t>7 тест sequence перепровiрено "руками": 37 секунд замiсть потрiбних  43 секунд</t>
        </r>
      </text>
    </comment>
    <comment ref="L8" authorId="0" shapeId="0">
      <text>
        <r>
          <rPr>
            <sz val="12"/>
            <color rgb="FFE7FDFF"/>
            <rFont val="Tahoma"/>
            <family val="2"/>
            <charset val="204"/>
          </rPr>
          <t>contest.txt.txt</t>
        </r>
      </text>
    </comment>
    <comment ref="B9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0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R10" authorId="0" shapeId="0">
      <text>
        <r>
          <rPr>
            <sz val="12"/>
            <color rgb="FFE7FDFF"/>
            <rFont val="Tahoma"/>
            <family val="2"/>
            <charset val="204"/>
          </rPr>
          <t>вiдмова на користь IV етапу олімпіади з хімії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12" authorId="0" shapeId="0">
      <text>
        <r>
          <rPr>
            <sz val="12"/>
            <color rgb="FFE7FDFF"/>
            <rFont val="Tahoma"/>
            <family val="2"/>
            <charset val="204"/>
          </rPr>
          <t>Проапельовано зрив роботи системи тестування</t>
        </r>
      </text>
    </comment>
    <comment ref="B1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I13" authorId="0" shapeId="0">
      <text>
        <r>
          <rPr>
            <sz val="12"/>
            <color rgb="FFE7FDFF"/>
            <rFont val="Tahoma"/>
            <family val="2"/>
            <charset val="204"/>
          </rPr>
          <t>Переглянуто оцінку за тест 7 задачі Послідовність (зрив роботи системи тестування попередніми запусками програми</t>
        </r>
      </text>
    </comment>
    <comment ref="M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O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1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R13" authorId="0" shapeId="0">
      <text>
        <r>
          <rPr>
            <sz val="12"/>
            <color rgb="FFE7FDFF"/>
            <rFont val="Tahoma"/>
            <family val="2"/>
            <charset val="204"/>
          </rPr>
          <t>вiдмова на користь IV етапу олімпіади з математики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P1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5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M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P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O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8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M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9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O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P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0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G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L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1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L21" authorId="0" shapeId="0">
      <text>
        <r>
          <rPr>
            <sz val="12"/>
            <color rgb="FFE7FDFF"/>
            <rFont val="Tahoma"/>
            <family val="2"/>
            <charset val="204"/>
          </rPr>
          <t>відсутній contest.txt</t>
        </r>
      </text>
    </comment>
    <comment ref="B22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E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L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G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L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23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E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L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2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5" authorId="0" shapeId="0">
      <text>
        <r>
          <rPr>
            <sz val="12"/>
            <color rgb="FFE7FDFF"/>
            <rFont val="Arial Narrow"/>
            <family val="2"/>
            <charset val="204"/>
          </rPr>
          <t>Гімназія</t>
        </r>
      </text>
    </comment>
    <comment ref="E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L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M2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B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F4" authorId="0" shapeId="0">
      <text>
        <r>
          <rPr>
            <sz val="12"/>
            <color rgb="FFE7FDFF"/>
            <rFont val="Tahoma"/>
            <family val="2"/>
            <charset val="204"/>
          </rPr>
          <t>Запізнився на 3 години з 5</t>
        </r>
      </text>
    </comment>
    <comment ref="G4" authorId="0" shapeId="0">
      <text>
        <r>
          <rPr>
            <sz val="12"/>
            <color rgb="FFE7FDFF"/>
            <rFont val="Tahoma"/>
            <family val="2"/>
            <charset val="204"/>
          </rPr>
          <t>Запізнився на 3 години з 5</t>
        </r>
      </text>
    </comment>
    <comment ref="J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A6" authorId="0" shapeId="0">
      <text>
        <r>
          <rPr>
            <sz val="12"/>
            <color rgb="FFE7FDFF"/>
            <rFont val="Tahoma"/>
            <family val="2"/>
            <charset val="204"/>
          </rPr>
          <t>Зараховано до команди незалежно від результатів відбірково-тренувальних зборів (І місце на IV етапі 2009 року)</t>
        </r>
      </text>
    </comment>
    <comment ref="B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8" authorId="0" shapeId="0">
      <text>
        <r>
          <rPr>
            <sz val="12"/>
            <color rgb="FFE7FDFF"/>
            <rFont val="Arial"/>
            <family val="2"/>
            <charset val="204"/>
          </rPr>
          <t>спеціалізована школа</t>
        </r>
      </text>
    </comment>
    <comment ref="B9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B10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2" authorId="0" shapeId="0">
      <text>
        <r>
          <rPr>
            <sz val="10"/>
            <color rgb="FFE7FDFF"/>
            <rFont val="Tahoma"/>
            <family val="2"/>
            <charset val="204"/>
          </rPr>
          <t>ліцей інформаційних технологій</t>
        </r>
      </text>
    </comment>
    <comment ref="B1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1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E1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4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8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B19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H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20" authorId="0" shapeId="0">
      <text>
        <r>
          <rPr>
            <b/>
            <sz val="8"/>
            <color rgb="FFE7FDFF"/>
            <rFont val="Tahoma"/>
            <family val="2"/>
            <charset val="204"/>
          </rPr>
          <t>Технічний ліцей</t>
        </r>
      </text>
    </comment>
    <comment ref="F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D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E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2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B2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G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2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3" authorId="0" shapeId="0">
      <text>
        <r>
          <rPr>
            <sz val="12"/>
            <color rgb="FFE7FDFF"/>
            <rFont val="Tahoma"/>
            <family val="2"/>
            <charset val="204"/>
          </rPr>
          <t>Ліцей</t>
        </r>
      </text>
    </comment>
    <comment ref="B5" authorId="0" shapeId="0">
      <text>
        <r>
          <rPr>
            <sz val="12"/>
            <color rgb="FFE7FDFF"/>
            <rFont val="Tahoma"/>
            <family val="2"/>
            <charset val="204"/>
          </rPr>
          <t>Русанівський ліцей</t>
        </r>
      </text>
    </comment>
    <comment ref="I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6" authorId="0" shapeId="0">
      <text>
        <r>
          <rPr>
            <sz val="12"/>
            <color rgb="FFE7FDFF"/>
            <rFont val="Arial Narrow"/>
            <family val="2"/>
            <charset val="204"/>
          </rPr>
          <t>Гімназія</t>
        </r>
      </text>
    </comment>
    <comment ref="E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6" authorId="0" shapeId="0">
      <text>
        <r>
          <rPr>
            <sz val="14"/>
            <color rgb="FFE7FDFF"/>
            <rFont val="Tahoma"/>
            <family val="2"/>
            <charset val="204"/>
          </rPr>
          <t>Проапельовано за результатами безпосередніх вимірювань часу самою програмою.</t>
        </r>
      </text>
    </comment>
    <comment ref="B7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8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9" authorId="0" shapeId="0">
      <text>
        <r>
          <rPr>
            <sz val="12"/>
            <color rgb="FFE7FDFF"/>
            <rFont val="Tahoma"/>
            <family val="2"/>
            <charset val="204"/>
          </rPr>
          <t>Ліцей № 38 ім. В.М.Молчанова</t>
        </r>
      </text>
    </comment>
    <comment ref="E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9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0" authorId="0" shapeId="0">
      <text>
        <r>
          <rPr>
            <sz val="8"/>
            <color rgb="FFE7FDFF"/>
            <rFont val="Tahoma"/>
            <family val="2"/>
            <charset val="204"/>
          </rPr>
          <t xml:space="preserve">Ліцей "Наукова зміна"
</t>
        </r>
      </text>
    </comment>
    <comment ref="E1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0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1" authorId="0" shapeId="0">
      <text>
        <r>
          <rPr>
            <b/>
            <sz val="8"/>
            <color rgb="FFE7FDFF"/>
            <rFont val="Tahoma"/>
            <family val="2"/>
            <charset val="204"/>
          </rPr>
          <t>фізико-математичний ліцей</t>
        </r>
      </text>
    </comment>
    <comment ref="B12" authorId="0" shapeId="0">
      <text>
        <r>
          <rPr>
            <sz val="12"/>
            <color rgb="FFE7FDFF"/>
            <rFont val="Tahoma"/>
            <family val="2"/>
            <charset val="204"/>
          </rPr>
          <t>Природничо-науковий ліцей</t>
        </r>
      </text>
    </comment>
    <comment ref="B13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4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B15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E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5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6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I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6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7" authorId="0" shapeId="0">
      <text>
        <r>
          <rPr>
            <b/>
            <sz val="8"/>
            <color rgb="FFE7FDFF"/>
            <rFont val="Tahoma"/>
            <family val="2"/>
            <charset val="204"/>
          </rPr>
          <t>Києво-Печерський ліцей "Лідер"</t>
        </r>
      </text>
    </comment>
    <comment ref="D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E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7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B18" authorId="0" shapeId="0">
      <text>
        <r>
          <rPr>
            <sz val="12"/>
            <color rgb="FFE7FDFF"/>
            <rFont val="Times New Roman"/>
            <family val="1"/>
            <charset val="1"/>
          </rPr>
          <t>ТЛ НТУУ "КПІ"</t>
        </r>
      </text>
    </comment>
    <comment ref="D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F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G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H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I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J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  <comment ref="K18" authorId="0" shapeId="0">
      <text>
        <r>
          <rPr>
            <sz val="12"/>
            <color rgb="FFE7FDFF"/>
            <rFont val="Tahoma"/>
            <family val="2"/>
            <charset val="204"/>
          </rPr>
          <t>Відсутній</t>
        </r>
      </text>
    </comment>
  </commentList>
</comments>
</file>

<file path=xl/sharedStrings.xml><?xml version="1.0" encoding="utf-8"?>
<sst xmlns="http://schemas.openxmlformats.org/spreadsheetml/2006/main" count="1370" uniqueCount="641">
  <si>
    <t>Прізвище</t>
  </si>
  <si>
    <t>Клас</t>
  </si>
  <si>
    <t>Школа</t>
  </si>
  <si>
    <t>Залік</t>
  </si>
  <si>
    <t>IV етап</t>
  </si>
  <si>
    <t>Ткачук Володимир</t>
  </si>
  <si>
    <t>НЗ</t>
  </si>
  <si>
    <t>1.</t>
  </si>
  <si>
    <t>0.846</t>
  </si>
  <si>
    <t>0.48</t>
  </si>
  <si>
    <t>6.846</t>
  </si>
  <si>
    <t>Учасник</t>
  </si>
  <si>
    <t>Рибак Михайло</t>
  </si>
  <si>
    <t>0.95</t>
  </si>
  <si>
    <t>0.85</t>
  </si>
  <si>
    <t>0.885</t>
  </si>
  <si>
    <t>0.733</t>
  </si>
  <si>
    <t>0.02</t>
  </si>
  <si>
    <t>6.418</t>
  </si>
  <si>
    <t>Недашківський Олексій</t>
  </si>
  <si>
    <t>0.592</t>
  </si>
  <si>
    <t>0.692</t>
  </si>
  <si>
    <t>0.75</t>
  </si>
  <si>
    <t>6.327</t>
  </si>
  <si>
    <t>Співак Сергій</t>
  </si>
  <si>
    <t>0.883</t>
  </si>
  <si>
    <t>0.875</t>
  </si>
  <si>
    <t>0.577</t>
  </si>
  <si>
    <t>0.833</t>
  </si>
  <si>
    <t>0.</t>
  </si>
  <si>
    <t>6.168</t>
  </si>
  <si>
    <t>—</t>
  </si>
  <si>
    <t>Яковенко Богдан</t>
  </si>
  <si>
    <t>0.346</t>
  </si>
  <si>
    <t>0.769</t>
  </si>
  <si>
    <t>0.9</t>
  </si>
  <si>
    <t>0.44</t>
  </si>
  <si>
    <t>5.942</t>
  </si>
  <si>
    <t>Веденський Кирило</t>
  </si>
  <si>
    <t>0.8</t>
  </si>
  <si>
    <t>0.675</t>
  </si>
  <si>
    <t>0.575</t>
  </si>
  <si>
    <t>0.273</t>
  </si>
  <si>
    <t>5.123</t>
  </si>
  <si>
    <t>Іванов Андрій</t>
  </si>
  <si>
    <t>0.475</t>
  </si>
  <si>
    <t>0.5</t>
  </si>
  <si>
    <t>0.01</t>
  </si>
  <si>
    <t>4.658</t>
  </si>
  <si>
    <t>Сергеєв Дмитро</t>
  </si>
  <si>
    <t>0.7</t>
  </si>
  <si>
    <t>0.908</t>
  </si>
  <si>
    <t>0.6</t>
  </si>
  <si>
    <t>0.923</t>
  </si>
  <si>
    <t>0.308</t>
  </si>
  <si>
    <t>0.64</t>
  </si>
  <si>
    <t>4.352</t>
  </si>
  <si>
    <t>Даценко Сергій</t>
  </si>
  <si>
    <t>0.269</t>
  </si>
  <si>
    <t>0.76</t>
  </si>
  <si>
    <t>0.083</t>
  </si>
  <si>
    <t>0.35</t>
  </si>
  <si>
    <t>4.079</t>
  </si>
  <si>
    <t>Погромський  Костянтин</t>
  </si>
  <si>
    <t>0.533</t>
  </si>
  <si>
    <t>0.38</t>
  </si>
  <si>
    <t>3.847</t>
  </si>
  <si>
    <t>Павличко Віктор</t>
  </si>
  <si>
    <t>0.615</t>
  </si>
  <si>
    <t>0.04</t>
  </si>
  <si>
    <t>3.817</t>
  </si>
  <si>
    <t>Кузнецов Володимир</t>
  </si>
  <si>
    <t>0.2</t>
  </si>
  <si>
    <t>0.365</t>
  </si>
  <si>
    <t>0.231</t>
  </si>
  <si>
    <t>3.379</t>
  </si>
  <si>
    <t>Вовненко Іван</t>
  </si>
  <si>
    <t>0.3</t>
  </si>
  <si>
    <t>0.45</t>
  </si>
  <si>
    <t>0.115</t>
  </si>
  <si>
    <t>0.385</t>
  </si>
  <si>
    <t>0.25</t>
  </si>
  <si>
    <t>0.08</t>
  </si>
  <si>
    <t>2.223</t>
  </si>
  <si>
    <t>Слюсар Євген</t>
  </si>
  <si>
    <t>0.038</t>
  </si>
  <si>
    <t>0.091</t>
  </si>
  <si>
    <t>1.379</t>
  </si>
  <si>
    <t>Чабикін Андрій</t>
  </si>
  <si>
    <t>0.183</t>
  </si>
  <si>
    <t>0.625</t>
  </si>
  <si>
    <t>1.368</t>
  </si>
  <si>
    <t>Дашевський Сергій</t>
  </si>
  <si>
    <t>0.403</t>
  </si>
  <si>
    <t>Прізвище, ім`я</t>
  </si>
  <si>
    <t>I-5</t>
  </si>
  <si>
    <t>II-8</t>
  </si>
  <si>
    <t>III-9</t>
  </si>
  <si>
    <t>IV-3</t>
  </si>
  <si>
    <t>V-12</t>
  </si>
  <si>
    <t>VI-6</t>
  </si>
  <si>
    <t>VII-1</t>
  </si>
  <si>
    <t>VIII-7</t>
  </si>
  <si>
    <t>учасник</t>
  </si>
  <si>
    <t>Нестерук Володимир</t>
  </si>
  <si>
    <t>Ліссов Павло</t>
  </si>
  <si>
    <t>Михайлова Марія</t>
  </si>
  <si>
    <t>Гігіняк Володимир</t>
  </si>
  <si>
    <t>Кузнєцов Володимир</t>
  </si>
  <si>
    <t>Знов'як Юрій</t>
  </si>
  <si>
    <t>Корюкалов Олександр</t>
  </si>
  <si>
    <t>Мамонов Антон</t>
  </si>
  <si>
    <t>Терлецький Юрій</t>
  </si>
  <si>
    <t>Челноков</t>
  </si>
  <si>
    <t>Потапов Денис</t>
  </si>
  <si>
    <t>АКЛ</t>
  </si>
  <si>
    <t>Михайлюк Євген</t>
  </si>
  <si>
    <t>Харків Антон</t>
  </si>
  <si>
    <t xml:space="preserve">                                                                                                     О.Рудик </t>
  </si>
  <si>
    <t>Прізвище, ім`я, по батькові</t>
  </si>
  <si>
    <t>I-2</t>
  </si>
  <si>
    <t>II-6</t>
  </si>
  <si>
    <t>III-8</t>
  </si>
  <si>
    <t>IV-12</t>
  </si>
  <si>
    <t>V-15</t>
  </si>
  <si>
    <t>VI-5</t>
  </si>
  <si>
    <t>VII-11</t>
  </si>
  <si>
    <t>VIII-14</t>
  </si>
  <si>
    <t>Знов’як Юрій Володимирович</t>
  </si>
  <si>
    <t>Терлецький Юрій Васильович</t>
  </si>
  <si>
    <t>Челноков Володимир Олексійович</t>
  </si>
  <si>
    <t>Кордубан Дмитро Олександрович</t>
  </si>
  <si>
    <t>Гриненко Андрій Андрійович</t>
  </si>
  <si>
    <t>Петушков Тарас Валерійович</t>
  </si>
  <si>
    <t>Корнієнко Антон Ігорович</t>
  </si>
  <si>
    <t>Корюкалов Олександр Володимирович</t>
  </si>
  <si>
    <t>Шурига Олексій Васильович</t>
  </si>
  <si>
    <t>РЛ</t>
  </si>
  <si>
    <t>Мисак Данило Петрович</t>
  </si>
  <si>
    <t>резерв</t>
  </si>
  <si>
    <t>Брюхацький Дмитро Геннадійович</t>
  </si>
  <si>
    <t>ТЛ</t>
  </si>
  <si>
    <r>
      <rPr>
        <sz val="12"/>
        <rFont val="Arial Narrow"/>
        <family val="2"/>
        <charset val="1"/>
      </rPr>
      <t xml:space="preserve">Олесь Владислав Юрійович </t>
    </r>
    <r>
      <rPr>
        <b/>
        <sz val="12"/>
        <rFont val="Arial Narrow"/>
        <family val="2"/>
        <charset val="1"/>
      </rPr>
      <t>С</t>
    </r>
  </si>
  <si>
    <r>
      <rPr>
        <sz val="12"/>
        <rFont val="Arial Narrow"/>
        <family val="2"/>
        <charset val="1"/>
      </rPr>
      <t xml:space="preserve">Агафонкін Володимир Олександрович </t>
    </r>
    <r>
      <rPr>
        <b/>
        <sz val="12"/>
        <rFont val="Arial Narrow"/>
        <family val="2"/>
        <charset val="1"/>
      </rPr>
      <t>С</t>
    </r>
  </si>
  <si>
    <t>Каліщук Тарас Ярославович</t>
  </si>
  <si>
    <t>Настенко Роман Вікторович</t>
  </si>
  <si>
    <t>ПЛ</t>
  </si>
  <si>
    <r>
      <rPr>
        <sz val="12"/>
        <rFont val="Arial Narrow"/>
        <family val="2"/>
        <charset val="1"/>
      </rPr>
      <t xml:space="preserve">Яковлєв Борис Володимирович </t>
    </r>
    <r>
      <rPr>
        <b/>
        <sz val="12"/>
        <rFont val="Arial Narrow"/>
        <family val="2"/>
        <charset val="1"/>
      </rPr>
      <t>C</t>
    </r>
  </si>
  <si>
    <t>I-3</t>
  </si>
  <si>
    <t>ІІ-4</t>
  </si>
  <si>
    <t>ІІІ-6</t>
  </si>
  <si>
    <t>IV-10</t>
  </si>
  <si>
    <t>VI-13</t>
  </si>
  <si>
    <t>VII-14</t>
  </si>
  <si>
    <t>VIII-17</t>
  </si>
  <si>
    <t>Іванов Євген В'ячеславович</t>
  </si>
  <si>
    <t>Пантелеймонов Олександр Борисович</t>
  </si>
  <si>
    <t>Чеховський Олександр Володимирович</t>
  </si>
  <si>
    <t>Трегубенко Антон Сергійович</t>
  </si>
  <si>
    <t>запас</t>
  </si>
  <si>
    <t>Юрченко Іван Миронович</t>
  </si>
  <si>
    <t>Слюсаренко Олексій Олександрович</t>
  </si>
  <si>
    <t>Дєдушенко Микола Васильович</t>
  </si>
  <si>
    <t>Решетняк Ігор Вікторович</t>
  </si>
  <si>
    <t>Соколов Андрій Миколайович</t>
  </si>
  <si>
    <t>I-4</t>
  </si>
  <si>
    <t>II-5</t>
  </si>
  <si>
    <t>III-7</t>
  </si>
  <si>
    <t>IV-8</t>
  </si>
  <si>
    <t>VI-15</t>
  </si>
  <si>
    <t>VII-17</t>
  </si>
  <si>
    <t>VIII-18</t>
  </si>
  <si>
    <t>Юрченко Іван Володимирович</t>
  </si>
  <si>
    <t>Лівінський Іван Володимирович</t>
  </si>
  <si>
    <t>Абрамов Олександр Олександрович</t>
  </si>
  <si>
    <t xml:space="preserve">Шушкін Денис Андрійович </t>
  </si>
  <si>
    <t>Смелов Валерій Вікторович</t>
  </si>
  <si>
    <t>Бачеріков Олександр Ігорович</t>
  </si>
  <si>
    <t>Касіцький Олексій Вікторович</t>
  </si>
  <si>
    <t>Гусач Віталій Юрійович</t>
  </si>
  <si>
    <t>Набока Владислав Юрійович</t>
  </si>
  <si>
    <t>Берковський Денис Володимирович</t>
  </si>
  <si>
    <t>Радченко Анатолій Валерійович</t>
  </si>
  <si>
    <t>Чернов Микола Леонідович</t>
  </si>
  <si>
    <t>I-1</t>
  </si>
  <si>
    <t>IV-11</t>
  </si>
  <si>
    <t>VI-18</t>
  </si>
  <si>
    <t>VII-3</t>
  </si>
  <si>
    <t>VIII-6</t>
  </si>
  <si>
    <t>IX</t>
  </si>
  <si>
    <t>Σ</t>
  </si>
  <si>
    <t>Чеховський  Олександр Володимир.</t>
  </si>
  <si>
    <t>відмова</t>
  </si>
  <si>
    <t>Смєлов Валерій Вікторович</t>
  </si>
  <si>
    <t>Танцюра Богдан Вікторович</t>
  </si>
  <si>
    <t xml:space="preserve"> </t>
  </si>
  <si>
    <t>Полозов Олександр Євгенович</t>
  </si>
  <si>
    <t>Тарасюк  Дмитро Ігорович</t>
  </si>
  <si>
    <t>Панфілов Іван Олексійович</t>
  </si>
  <si>
    <t>УК</t>
  </si>
  <si>
    <t>Челноков Савва Ілліч</t>
  </si>
  <si>
    <t>Малежик Олександр Іванович</t>
  </si>
  <si>
    <t>Попович Андрій Владиславович</t>
  </si>
  <si>
    <t>Рибніков Костянтин Олександрович</t>
  </si>
  <si>
    <t>Губов Олександр Михайлович</t>
  </si>
  <si>
    <t>Соколов Влас Миколайович</t>
  </si>
  <si>
    <t>Хількевич Олексій Миколайович</t>
  </si>
  <si>
    <t>Грек Володимир Жоржович</t>
  </si>
  <si>
    <t>Огнєв Павло Ігорович</t>
  </si>
  <si>
    <t>Мельник Володимир Володимирович</t>
  </si>
  <si>
    <t>Арман Андрій Романович</t>
  </si>
  <si>
    <t>Нікітін Олександр Володимирович</t>
  </si>
  <si>
    <t>Шишацький Юрій Олександрович</t>
  </si>
  <si>
    <t>Джирма Андрій Володимирович</t>
  </si>
  <si>
    <t>I (1)</t>
  </si>
  <si>
    <t>II (4)</t>
  </si>
  <si>
    <t>III (8)</t>
  </si>
  <si>
    <t>IV (9)</t>
  </si>
  <si>
    <t>V (13)</t>
  </si>
  <si>
    <t>VI(14)</t>
  </si>
  <si>
    <t>VII(16)</t>
  </si>
  <si>
    <t>VIII(18)</t>
  </si>
  <si>
    <t>IX (19)</t>
  </si>
  <si>
    <t>X (20)</t>
  </si>
  <si>
    <t>Таран Дмитро Сергійович</t>
  </si>
  <si>
    <t>Максай Андрій Олександрович</t>
  </si>
  <si>
    <t>─</t>
  </si>
  <si>
    <t>Гузій Юрій Володимирович</t>
  </si>
  <si>
    <t>Хитрий Ігор Вікторович</t>
  </si>
  <si>
    <t>Петрашко Дмитро Ігорович</t>
  </si>
  <si>
    <t>Кудла Ігор Ростиславович</t>
  </si>
  <si>
    <t>Могильний Сергій Сергійович</t>
  </si>
  <si>
    <t xml:space="preserve">Залік: вказано частку набраних балів від максимально можливої кількості. У залік йде 7 найкращих результатів з 8. </t>
  </si>
  <si>
    <t>Результати 9 і 10 (додаткових) турів дадаються до залікового результату.</t>
  </si>
  <si>
    <t xml:space="preserve"> 22 березня 2007 року.</t>
  </si>
  <si>
    <t>Керівник відбірково-тренувальних зборів, голова журі ІІІ етапу олімпіади,</t>
  </si>
  <si>
    <t xml:space="preserve">доцент КМПУ ім. Б.Грінченка  </t>
  </si>
  <si>
    <t>О.Рудик</t>
  </si>
  <si>
    <t>I (4)</t>
  </si>
  <si>
    <t>II (5)</t>
  </si>
  <si>
    <t>III (7)</t>
  </si>
  <si>
    <t>IV (11)</t>
  </si>
  <si>
    <t>VI (14)</t>
  </si>
  <si>
    <t>VII (17)</t>
  </si>
  <si>
    <t>VIII (22)</t>
  </si>
  <si>
    <t>IX (2)</t>
  </si>
  <si>
    <t>X (19)</t>
  </si>
  <si>
    <t xml:space="preserve">Могильний Сергій Сергійович </t>
  </si>
  <si>
    <t>Твердохліб Ярослав Олегович</t>
  </si>
  <si>
    <t>Полозов Олександр  Євгенович</t>
  </si>
  <si>
    <t>Мельник  Володимир Володимирович</t>
  </si>
  <si>
    <t>Башук Олександр Олексійович</t>
  </si>
  <si>
    <t>Челноков Сава Ілліч</t>
  </si>
  <si>
    <t>Єдемський Роман Сергійович</t>
  </si>
  <si>
    <t>Ткаченко Владислав Вадимович</t>
  </si>
  <si>
    <t>Назарова Дар'я В'ячеславівна</t>
  </si>
  <si>
    <t>Мостовенко Микола Сергійович</t>
  </si>
  <si>
    <t>Ржепішевський Андрій Леонідович</t>
  </si>
  <si>
    <t>Воротілін Вадим Валерійович</t>
  </si>
  <si>
    <t>Пустовіт Остап Олегович</t>
  </si>
  <si>
    <t>6 березня 2008 року.</t>
  </si>
  <si>
    <t>1 (2)</t>
  </si>
  <si>
    <t>2 (6)</t>
  </si>
  <si>
    <t>3 (9)</t>
  </si>
  <si>
    <t>4 (10)</t>
  </si>
  <si>
    <t>5 (13)</t>
  </si>
  <si>
    <t>6 (14)</t>
  </si>
  <si>
    <t>7 (18)</t>
  </si>
  <si>
    <t>8 (4)</t>
  </si>
  <si>
    <t>9 (20)</t>
  </si>
  <si>
    <t>10 (22)</t>
  </si>
  <si>
    <t>11 (8)</t>
  </si>
  <si>
    <t>12 (25)</t>
  </si>
  <si>
    <t>Телефон</t>
  </si>
  <si>
    <t>e-mail</t>
  </si>
  <si>
    <t>І</t>
  </si>
  <si>
    <t>ІІ</t>
  </si>
  <si>
    <t>Місце</t>
  </si>
  <si>
    <t>Шевчук Євген Миколайович</t>
  </si>
  <si>
    <t>Герич Захар Олегович</t>
  </si>
  <si>
    <t xml:space="preserve">Пархомець Артем Дмитрович </t>
  </si>
  <si>
    <t>Мороз Антон Юрійович</t>
  </si>
  <si>
    <t>Руденко Олександр В'ячеславович</t>
  </si>
  <si>
    <t>Лавренюк Микола Сергійович</t>
  </si>
  <si>
    <t>Бондар Денис Олегович</t>
  </si>
  <si>
    <t>Зінченко Артем Вадимович</t>
  </si>
  <si>
    <t>Пушкар Андрій Сергійович</t>
  </si>
  <si>
    <t>Баган Олександр Анатолійович</t>
  </si>
  <si>
    <t>Кулян Андрій Вікторович</t>
  </si>
  <si>
    <t>Шматов Ярослав Ростиславович</t>
  </si>
  <si>
    <t>Харчун Володимир Михайлович</t>
  </si>
  <si>
    <t>Ківва Богдан Сергійович</t>
  </si>
  <si>
    <t>Рибалка Денис Олегович</t>
  </si>
  <si>
    <t>Франчук Василь Олегович</t>
  </si>
  <si>
    <t xml:space="preserve">Залік: вказано частку набраних балів від максимально можливої кількості. У залік йде 9 найкращих результатів з 10. </t>
  </si>
  <si>
    <t>Результати 11 і 12 (додаткових) турів дадаються до залікового результату.</t>
  </si>
  <si>
    <t>4 березня 2009 року.</t>
  </si>
  <si>
    <t xml:space="preserve">Керівник відбірково-тренувальних зборів, доцент КМПУ ім. Б.Д. Грінченка  </t>
  </si>
  <si>
    <t>1 (6)</t>
  </si>
  <si>
    <t>2 (12)</t>
  </si>
  <si>
    <t>2 (14)</t>
  </si>
  <si>
    <t>3 (17)</t>
  </si>
  <si>
    <t>3 (21)</t>
  </si>
  <si>
    <t>4 (22)</t>
  </si>
  <si>
    <t>4 (26)</t>
  </si>
  <si>
    <t>ПК1</t>
  </si>
  <si>
    <t>Пікож Андрій Віталійович</t>
  </si>
  <si>
    <t>0688083844 andrey_pikozh@ukr.net</t>
  </si>
  <si>
    <t>5174508 JShmatov@gmail.com</t>
  </si>
  <si>
    <t>Скрябін Євген Костянтинович</t>
  </si>
  <si>
    <t>Таранов Владислав Ернестович</t>
  </si>
  <si>
    <t>5263078 vbcoding@ukr.net</t>
  </si>
  <si>
    <t>Краснолуцький Владислав Костянтинович</t>
  </si>
  <si>
    <t>Бондаренко Дмитро Олегович</t>
  </si>
  <si>
    <t>Топоров Юрій Володимирович</t>
  </si>
  <si>
    <t>Піскун Олексій Андрійович</t>
  </si>
  <si>
    <t>Куссуль Анатолій Павлович</t>
  </si>
  <si>
    <t>5262572 kin6@ukr.net</t>
  </si>
  <si>
    <t>Кульчицький Юрій Вікторович</t>
  </si>
  <si>
    <t>5661213 ntdvsc.42@gmail.com</t>
  </si>
  <si>
    <t>Какойченко Андрій Ігорович</t>
  </si>
  <si>
    <t>5734997 a.kakoychenko@gmail.com</t>
  </si>
  <si>
    <t>Бихун Олексій Вікторович</t>
  </si>
  <si>
    <t>Залік: вказано частку набраних балів від максимально можливої кількості.</t>
  </si>
  <si>
    <t>3 березня 2010 року.</t>
  </si>
  <si>
    <t xml:space="preserve">Керівник відбірково-тренувальних зборів, доцент КУ ім. Б. Грінченка  </t>
  </si>
  <si>
    <t>1 (3)</t>
  </si>
  <si>
    <t>2 (5)</t>
  </si>
  <si>
    <t>3 (12)</t>
  </si>
  <si>
    <t>4 (17)</t>
  </si>
  <si>
    <t>5 (21)</t>
  </si>
  <si>
    <t>6 (22)</t>
  </si>
  <si>
    <t>7 (26)</t>
  </si>
  <si>
    <t>8 (11)</t>
  </si>
  <si>
    <t>Михайловський Володимир Віталійович</t>
  </si>
  <si>
    <t>Діомідов Євгеній Олексійович</t>
  </si>
  <si>
    <t>Кузьмін Олексій Володимирович</t>
  </si>
  <si>
    <t>Самойлов Олександр Миколайович</t>
  </si>
  <si>
    <t>Гур'янов Олександр Ігорович</t>
  </si>
  <si>
    <t>Шатохін Михайло Вікторович</t>
  </si>
  <si>
    <t>Литвиненко Ігор Ігорович</t>
  </si>
  <si>
    <t>Кутовий Дмитро Валерійович</t>
  </si>
  <si>
    <t>Чан Ха Ву</t>
  </si>
  <si>
    <t>Фатенко Владислав Васильович</t>
  </si>
  <si>
    <t>Дашков Олександр Олександрович</t>
  </si>
  <si>
    <t>Самара Олекса Сергійович</t>
  </si>
  <si>
    <t>Побережець Антон Віталійович</t>
  </si>
  <si>
    <t>7 березня 2011 року.</t>
  </si>
  <si>
    <t>Керівник відбірково-тренувальних зборів,</t>
  </si>
  <si>
    <t xml:space="preserve">доцент КУ ім. Б.Грінченка  </t>
  </si>
  <si>
    <t>ПК</t>
  </si>
  <si>
    <t>I</t>
  </si>
  <si>
    <t>II</t>
  </si>
  <si>
    <t>3 (4)</t>
  </si>
  <si>
    <t>4 (7)</t>
  </si>
  <si>
    <t>5 (12)</t>
  </si>
  <si>
    <t>6 (15)</t>
  </si>
  <si>
    <t>7 (19)</t>
  </si>
  <si>
    <t>8 (23)</t>
  </si>
  <si>
    <t>9 (26)</t>
  </si>
  <si>
    <t>10(30)</t>
  </si>
  <si>
    <t>Попович Євгеній Олександрович</t>
  </si>
  <si>
    <t>Маковенко Микита Сергійович</t>
  </si>
  <si>
    <t>Сидоришин Андрій Леонідович</t>
  </si>
  <si>
    <t>Сочка Олександр Олександрович</t>
  </si>
  <si>
    <t>Першин Радомир Валерійович</t>
  </si>
  <si>
    <t>Гусєв Олександр Андрійович</t>
  </si>
  <si>
    <t>Піпко Анна Сергіївна</t>
  </si>
  <si>
    <t>Марчук Роман Васильович</t>
  </si>
  <si>
    <t xml:space="preserve">Залік: вказано частку набраних балів від максимально можливої кількості. У залік йде 11 найкращих результатів з 12. </t>
  </si>
  <si>
    <t>2 березня 2012 року.</t>
  </si>
  <si>
    <t>Чаповський Євген Юрійович</t>
  </si>
  <si>
    <t>Булатов Дмитро Єгорович</t>
  </si>
  <si>
    <t>Богатов Дмитро Костянтинович</t>
  </si>
  <si>
    <t>Олексієнко Ілля Вадимович</t>
  </si>
  <si>
    <t>Рижков Ігор Олегович</t>
  </si>
  <si>
    <t>Гаврилко Євгеній Дмитрович</t>
  </si>
  <si>
    <t>Трєскунов Денис Олегович</t>
  </si>
  <si>
    <t>28 лютого 2013 року.</t>
  </si>
  <si>
    <t>1 (1)</t>
  </si>
  <si>
    <t>7 (21)</t>
  </si>
  <si>
    <t>8 (25)</t>
  </si>
  <si>
    <t>10 (31)</t>
  </si>
  <si>
    <t>Лаба Дмитро Мирославович</t>
  </si>
  <si>
    <t xml:space="preserve">Першин Радомир Валерійович </t>
  </si>
  <si>
    <t>Горбешко Олексій Костянтинович</t>
  </si>
  <si>
    <t xml:space="preserve">Олексієнко Ілля Вадимович </t>
  </si>
  <si>
    <t>Савенков Олексій Аркадійович</t>
  </si>
  <si>
    <t>Башук Олексій Олексійович</t>
  </si>
  <si>
    <t>Кураченко Олег Олегович</t>
  </si>
  <si>
    <t>Мелентьєва Ада Денисівна</t>
  </si>
  <si>
    <t>Прокопець Юрій Андрійович</t>
  </si>
  <si>
    <t xml:space="preserve">Канівець Дмитро Володимирович </t>
  </si>
  <si>
    <t>Кошевий Ілля Борисович</t>
  </si>
  <si>
    <t>Пушкін Денис Євгенович</t>
  </si>
  <si>
    <t>27 лютого 2014 року.</t>
  </si>
  <si>
    <t>2 (16)</t>
  </si>
  <si>
    <t>∑</t>
  </si>
  <si>
    <t>Саприкін Артем Олексійович</t>
  </si>
  <si>
    <t xml:space="preserve">Башук Олексій Олексійович </t>
  </si>
  <si>
    <t>Рл</t>
  </si>
  <si>
    <t>нпч</t>
  </si>
  <si>
    <t>Житар Роман Віталійович</t>
  </si>
  <si>
    <t>Клибанівський Владислав Вадимович</t>
  </si>
  <si>
    <t>Сукайло Катерина Ігорівна</t>
  </si>
  <si>
    <t>Франчук Іван Олегович</t>
  </si>
  <si>
    <t>Ковалевський Ілля Романович</t>
  </si>
  <si>
    <t>Тл</t>
  </si>
  <si>
    <t>Мельниченко Антон Сергійович</t>
  </si>
  <si>
    <t>Яценко Владислав Ігорович</t>
  </si>
  <si>
    <t>Нестеренко Костянтин Павлович</t>
  </si>
  <si>
    <t>Вахітов Богдан Володимирович</t>
  </si>
  <si>
    <t>2 (8)</t>
  </si>
  <si>
    <t>3 (15)</t>
  </si>
  <si>
    <t>4 (20)</t>
  </si>
  <si>
    <t>5 (24)</t>
  </si>
  <si>
    <t>6 (28)</t>
  </si>
  <si>
    <t>7 (32)</t>
  </si>
  <si>
    <t>8 (30+21)</t>
  </si>
  <si>
    <t>учасник ?</t>
  </si>
  <si>
    <t>Тригуб Антон Володимирович</t>
  </si>
  <si>
    <t>гА</t>
  </si>
  <si>
    <t>Кадиров Кадір Бєкєтович</t>
  </si>
  <si>
    <t>Євсейцев Андрій Вікторович</t>
  </si>
  <si>
    <t>Гунько Олександр Сергійович</t>
  </si>
  <si>
    <t>Гінкул Анна Олександрівна</t>
  </si>
  <si>
    <t>Яцків Катерина Богданівна</t>
  </si>
  <si>
    <t>Савченко Владислав Максимович</t>
  </si>
  <si>
    <t>Грицюк Олександр Олександрович</t>
  </si>
  <si>
    <t>Киричков Дмитро Ярославович</t>
  </si>
  <si>
    <t>Вахітов Антон Володимирович</t>
  </si>
  <si>
    <t>3 (2)</t>
  </si>
  <si>
    <t>5 (9)</t>
  </si>
  <si>
    <t>6 (13)</t>
  </si>
  <si>
    <t>7 (20)</t>
  </si>
  <si>
    <t>8 (26)</t>
  </si>
  <si>
    <t>9 ()</t>
  </si>
  <si>
    <t>10 ()</t>
  </si>
  <si>
    <t>Абдулаєв Андрій Анатолійович</t>
  </si>
  <si>
    <t>Нз</t>
  </si>
  <si>
    <t>Башук  Олексій Олексійович</t>
  </si>
  <si>
    <t>Гречка Артем Віталійович</t>
  </si>
  <si>
    <t>Кадиров Кадір Бекетович</t>
  </si>
  <si>
    <t xml:space="preserve">Нижник Борис Михайлович </t>
  </si>
  <si>
    <t>Олійник Микита Павлович</t>
  </si>
  <si>
    <t>Панченко Єгор Станіславович</t>
  </si>
  <si>
    <t>Потьомкін Лев Євгенович</t>
  </si>
  <si>
    <t>Ремез Сергій Олександрович</t>
  </si>
  <si>
    <t>Руденко Анастасія В'ячеславівна</t>
  </si>
  <si>
    <t>Скоробогатько Ігор Олександрович</t>
  </si>
  <si>
    <t>1 (4)</t>
  </si>
  <si>
    <t>4 (13)</t>
  </si>
  <si>
    <t>5 (22)</t>
  </si>
  <si>
    <t>6 (25)</t>
  </si>
  <si>
    <t>7 (30)</t>
  </si>
  <si>
    <t>8 (31)</t>
  </si>
  <si>
    <t>grytsiuk.o@gmail.com</t>
  </si>
  <si>
    <t>iamsuperman145@gmail.com</t>
  </si>
  <si>
    <t>Ковригін Андрій Ігоревич</t>
  </si>
  <si>
    <t>a.i.kovrigin@gmail.com</t>
  </si>
  <si>
    <t>Фількін Максим Андрійович</t>
  </si>
  <si>
    <t>filkinkuiv@gmail.com</t>
  </si>
  <si>
    <t>kadeyrov@gmail.com</t>
  </si>
  <si>
    <t>Сидоренко Нікіта Сергійович</t>
  </si>
  <si>
    <t>nikermax@ukr.net</t>
  </si>
  <si>
    <t>Рамик Іван Петрович</t>
  </si>
  <si>
    <t>vanya.ramik@gmail.com</t>
  </si>
  <si>
    <t>themrlestrade@gmail.com</t>
  </si>
  <si>
    <t>bvakhitov@gmail.com</t>
  </si>
  <si>
    <t>skorobogatkoi2003@gmail.com</t>
  </si>
  <si>
    <t>antvakhitov@gmail.com</t>
  </si>
  <si>
    <t>Дехтяр Юр-Любомисл Валерійович</t>
  </si>
  <si>
    <t>theophil2002@gmail.com</t>
  </si>
  <si>
    <t>panenotgeor@gmail.com</t>
  </si>
  <si>
    <t>Щербак Денис Володимирович</t>
  </si>
  <si>
    <t>denis.shcherbak@gmail.com</t>
  </si>
  <si>
    <t>Білик Олеся Олександрівна</t>
  </si>
  <si>
    <t>ole.bilyk@gmail.com</t>
  </si>
  <si>
    <t>Нечаєва Вероніка Валентинівна</t>
  </si>
  <si>
    <t>veronika.netch@gmail.com</t>
  </si>
  <si>
    <t>Манвелян Михайло Борисович</t>
  </si>
  <si>
    <t>mmanvelyan2004@gmail.com</t>
  </si>
  <si>
    <t>Стопчатий Андрій Вадимович</t>
  </si>
  <si>
    <t>КІГ</t>
  </si>
  <si>
    <t>astopchatyy@gmail.com</t>
  </si>
  <si>
    <t>4 (16)</t>
  </si>
  <si>
    <t>6 (23)</t>
  </si>
  <si>
    <t>8 (33)</t>
  </si>
  <si>
    <t>mmanvelyan2004q@gmail.com</t>
  </si>
  <si>
    <t>Ковригін Андрій Ігорович</t>
  </si>
  <si>
    <t>Кравченко Олег Ігорович</t>
  </si>
  <si>
    <t>olegprogir@gmail.com</t>
  </si>
  <si>
    <t>Нижник Борис Михайлович</t>
  </si>
  <si>
    <t>Бідзіля Святослав Олексійович 9 клас</t>
  </si>
  <si>
    <t>b.svjatoslav@gmail.com</t>
  </si>
  <si>
    <t>Забарянская Ірина Сергіївна</t>
  </si>
  <si>
    <t>irunchikintellect@gmail.com</t>
  </si>
  <si>
    <t>Дехтяр Богдан-Ярема Валерійович</t>
  </si>
  <si>
    <t>Точоний Володимир Олегович</t>
  </si>
  <si>
    <t>derfer2003@gmail.com</t>
  </si>
  <si>
    <t>Руденко Анастасія Вячеславівна</t>
  </si>
  <si>
    <t>little.rudenko@gmail.com</t>
  </si>
  <si>
    <t>Махмудов Олександр Олександрович</t>
  </si>
  <si>
    <t>oleksandrmakhmudov@gmail.com</t>
  </si>
  <si>
    <t>Петренко Святозар Олександрович</t>
  </si>
  <si>
    <t>svpetrenko123@gmail.com</t>
  </si>
  <si>
    <t>Макаров Іван Максимович</t>
  </si>
  <si>
    <t>makarov_work@ukr.net</t>
  </si>
  <si>
    <t>І тур ІІІ етапу</t>
  </si>
  <si>
    <t>ІI тур ІІІ етапу</t>
  </si>
  <si>
    <t>Бідзіля</t>
  </si>
  <si>
    <t>Ковригін</t>
  </si>
  <si>
    <t>Мокін</t>
  </si>
  <si>
    <t>Манвелян</t>
  </si>
  <si>
    <t>Кравченко</t>
  </si>
  <si>
    <t>Горох</t>
  </si>
  <si>
    <t>Абдулаєв</t>
  </si>
  <si>
    <t>Скоробогатько</t>
  </si>
  <si>
    <t>Стопчатий</t>
  </si>
  <si>
    <t>Вахітов</t>
  </si>
  <si>
    <t>Романов</t>
  </si>
  <si>
    <t>Точоний</t>
  </si>
  <si>
    <t>Якубишин</t>
  </si>
  <si>
    <t>Шевченко</t>
  </si>
  <si>
    <t>Шлапак</t>
  </si>
  <si>
    <t>Хасін</t>
  </si>
  <si>
    <t>Потьомкіна</t>
  </si>
  <si>
    <t>Янушевський</t>
  </si>
  <si>
    <t>Смутчак</t>
  </si>
  <si>
    <t>Камінський</t>
  </si>
  <si>
    <t>Терещенко</t>
  </si>
  <si>
    <t>Рейзін</t>
  </si>
  <si>
    <t>Черній</t>
  </si>
  <si>
    <t>Шелестов</t>
  </si>
  <si>
    <t>Тимошенко</t>
  </si>
  <si>
    <t>Дубас</t>
  </si>
  <si>
    <t>Жирнов</t>
  </si>
  <si>
    <t>Сімак</t>
  </si>
  <si>
    <t>Семиренський</t>
  </si>
  <si>
    <t>Кривошеєва</t>
  </si>
  <si>
    <t>Басов</t>
  </si>
  <si>
    <t>Матвіюк</t>
  </si>
  <si>
    <t>Лапко</t>
  </si>
  <si>
    <t>Обліковий запис</t>
  </si>
  <si>
    <t>Лобас</t>
  </si>
  <si>
    <t>uoi-0110</t>
  </si>
  <si>
    <t>daria6.lobas@gmail.com</t>
  </si>
  <si>
    <t>Реденський</t>
  </si>
  <si>
    <t>uoi-0105</t>
  </si>
  <si>
    <t>redkirill4@gmail.com</t>
  </si>
  <si>
    <t>uoi-0107</t>
  </si>
  <si>
    <t>simakstepan@gmail.com</t>
  </si>
  <si>
    <t xml:space="preserve">Смутчак </t>
  </si>
  <si>
    <t>uoi-0108</t>
  </si>
  <si>
    <t>sm.andrey27@gmail.com</t>
  </si>
  <si>
    <t>uoi-0109</t>
  </si>
  <si>
    <t>thequantix12@gmail.com</t>
  </si>
  <si>
    <t>uoi-0112</t>
  </si>
  <si>
    <t>andriy.basov@gmail.com</t>
  </si>
  <si>
    <t xml:space="preserve">Левченко </t>
  </si>
  <si>
    <t>uoi-0111</t>
  </si>
  <si>
    <t xml:space="preserve">vladilius2007@gmail.com </t>
  </si>
  <si>
    <t xml:space="preserve">Ябченко </t>
  </si>
  <si>
    <t>uoi-0113</t>
  </si>
  <si>
    <t>rostyslav.yabchenko@gmail.com</t>
  </si>
  <si>
    <t>Мєламуд</t>
  </si>
  <si>
    <t>uoi-0119</t>
  </si>
  <si>
    <t>2m.roman2@gmail.com</t>
  </si>
  <si>
    <t>Гарбуза</t>
  </si>
  <si>
    <t>uoi-0120</t>
  </si>
  <si>
    <t>ky.garbuza@gmail.com</t>
  </si>
  <si>
    <t>Овчаренко</t>
  </si>
  <si>
    <t>uoi-0118</t>
  </si>
  <si>
    <t>ihnatovcharenko@gmail.com</t>
  </si>
  <si>
    <t>Скулиш</t>
  </si>
  <si>
    <t>uoi-0115</t>
  </si>
  <si>
    <t>makskulysh@gmail.com</t>
  </si>
  <si>
    <t>Костенко</t>
  </si>
  <si>
    <t>uoi-0116</t>
  </si>
  <si>
    <t>kioc0407@gmail.com</t>
  </si>
  <si>
    <t>Синельник</t>
  </si>
  <si>
    <t>uoi-0117</t>
  </si>
  <si>
    <t>synelnyk.andrey.1234567890@gmail.com</t>
  </si>
  <si>
    <t>Завадський</t>
  </si>
  <si>
    <t>uoi-0123</t>
  </si>
  <si>
    <t>bohdanza87@gmail.com</t>
  </si>
  <si>
    <t>Моцак</t>
  </si>
  <si>
    <t>uoi-0114</t>
  </si>
  <si>
    <t>kolamocak@gmail.com</t>
  </si>
  <si>
    <t>Дахно</t>
  </si>
  <si>
    <t>uoi-0121</t>
  </si>
  <si>
    <t>dahno@lic145.kiev.ua</t>
  </si>
  <si>
    <t>Стус</t>
  </si>
  <si>
    <t>uoi-0122</t>
  </si>
  <si>
    <t>yarema.stus@gmail.com</t>
  </si>
  <si>
    <t>uoi-0106</t>
  </si>
  <si>
    <t>учасниця</t>
  </si>
  <si>
    <t>p.alisa.kons@gmail.com</t>
  </si>
  <si>
    <t>uoi-081</t>
  </si>
  <si>
    <t>-</t>
  </si>
  <si>
    <t>Ябченко</t>
  </si>
  <si>
    <t>uoi-074</t>
  </si>
  <si>
    <t>uoi-089</t>
  </si>
  <si>
    <t>uoi-092</t>
  </si>
  <si>
    <t>uoi-075</t>
  </si>
  <si>
    <t>Мороз</t>
  </si>
  <si>
    <t>uoi-076</t>
  </si>
  <si>
    <t>Опульський</t>
  </si>
  <si>
    <t>uoi-078</t>
  </si>
  <si>
    <t>Пєшков</t>
  </si>
  <si>
    <t>uoi-091</t>
  </si>
  <si>
    <t>Харченко</t>
  </si>
  <si>
    <t>uoi-083</t>
  </si>
  <si>
    <t>Журба</t>
  </si>
  <si>
    <t>uoi-077</t>
  </si>
  <si>
    <t>Двалі</t>
  </si>
  <si>
    <t>uoi-084</t>
  </si>
  <si>
    <t>Бєлов</t>
  </si>
  <si>
    <t>uoi-082</t>
  </si>
  <si>
    <t>uoi-093</t>
  </si>
  <si>
    <t>Рогач</t>
  </si>
  <si>
    <t>uoi-087</t>
  </si>
  <si>
    <t>Паращій</t>
  </si>
  <si>
    <t>uoi-094</t>
  </si>
  <si>
    <t>Бірюков</t>
  </si>
  <si>
    <t>uoi-088</t>
  </si>
  <si>
    <t>Мачехін</t>
  </si>
  <si>
    <t>uoi-085</t>
  </si>
  <si>
    <t>Соколенко</t>
  </si>
  <si>
    <t>uoi-073</t>
  </si>
  <si>
    <t>Субота</t>
  </si>
  <si>
    <t>uoi-086</t>
  </si>
  <si>
    <t>Карван</t>
  </si>
  <si>
    <t>uoi-079</t>
  </si>
  <si>
    <t>Державець</t>
  </si>
  <si>
    <t>uoi-095</t>
  </si>
  <si>
    <t>uoi-090</t>
  </si>
  <si>
    <t>Сафонов</t>
  </si>
  <si>
    <t>uoi-080</t>
  </si>
  <si>
    <t>Рябошапка</t>
  </si>
  <si>
    <t>uoi-096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</si>
</sst>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8" x14ac:knownFonts="1">
    <font>
      <sz val="10"/>
      <name val="Arial Cyr"/>
      <family val="2"/>
      <charset val="204"/>
    </font>
    <font>
      <b/>
      <sz val="12"/>
      <name val="Times New Roman"/>
      <family val="1"/>
      <charset val="1"/>
    </font>
    <font>
      <b/>
      <sz val="10"/>
      <name val="Arial Cyr"/>
      <family val="2"/>
      <charset val="204"/>
    </font>
    <font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sz val="12"/>
      <color rgb="FFE7FDFF"/>
      <name val="Arial Narrow"/>
      <family val="2"/>
      <charset val="1"/>
    </font>
    <font>
      <i/>
      <sz val="12"/>
      <color rgb="FFE7FDFF"/>
      <name val="Arial Narrow"/>
      <family val="2"/>
      <charset val="1"/>
    </font>
    <font>
      <b/>
      <sz val="8"/>
      <name val="Times New Roman"/>
      <family val="1"/>
      <charset val="1"/>
    </font>
    <font>
      <sz val="12"/>
      <name val="Times New Roman"/>
      <family val="1"/>
      <charset val="204"/>
    </font>
    <font>
      <sz val="8"/>
      <color rgb="FFE7FDFF"/>
      <name val="Tahoma"/>
      <family val="2"/>
      <charset val="204"/>
    </font>
    <font>
      <b/>
      <sz val="8"/>
      <color rgb="FFE7FDFF"/>
      <name val="Tahoma"/>
      <family val="2"/>
      <charset val="204"/>
    </font>
    <font>
      <sz val="14"/>
      <color rgb="FFE7FDFF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10"/>
      <name val="Times New Roman"/>
      <family val="1"/>
      <charset val="1"/>
    </font>
    <font>
      <sz val="12"/>
      <color rgb="FFE7FDFF"/>
      <name val="Arial"/>
      <family val="2"/>
      <charset val="204"/>
    </font>
    <font>
      <b/>
      <sz val="12"/>
      <color rgb="FFE7FDFF"/>
      <name val="Times New Roman"/>
      <family val="1"/>
      <charset val="204"/>
    </font>
    <font>
      <sz val="12"/>
      <color rgb="FFE7FDFF"/>
      <name val="Arial Cyr"/>
      <family val="2"/>
      <charset val="204"/>
    </font>
    <font>
      <b/>
      <sz val="12"/>
      <name val="Arial Narrow"/>
      <family val="2"/>
      <charset val="204"/>
    </font>
    <font>
      <sz val="11"/>
      <name val="Arial Narrow"/>
      <family val="2"/>
      <charset val="204"/>
    </font>
    <font>
      <sz val="12"/>
      <color rgb="FFFF99CC"/>
      <name val="Times New Roman"/>
      <family val="1"/>
      <charset val="1"/>
    </font>
    <font>
      <sz val="12"/>
      <color rgb="FFE7FDFF"/>
      <name val="Tahoma"/>
      <family val="2"/>
      <charset val="204"/>
    </font>
    <font>
      <u/>
      <sz val="10"/>
      <color rgb="FF0000FF"/>
      <name val="Arial Cyr"/>
      <family val="2"/>
      <charset val="204"/>
    </font>
    <font>
      <sz val="12"/>
      <color rgb="FFFF99CC"/>
      <name val="Arial Narrow"/>
      <family val="2"/>
      <charset val="204"/>
    </font>
    <font>
      <sz val="10"/>
      <name val="Arial Narrow"/>
      <family val="2"/>
      <charset val="204"/>
    </font>
    <font>
      <sz val="12"/>
      <color rgb="FFE7FDFF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0"/>
      <color rgb="FFE7FDFF"/>
      <name val="Tahoma"/>
      <family val="2"/>
      <charset val="204"/>
    </font>
    <font>
      <sz val="12"/>
      <color rgb="FFE7FDFF"/>
      <name val="Times New Roman"/>
      <family val="1"/>
      <charset val="1"/>
    </font>
    <font>
      <sz val="14"/>
      <color rgb="FFE7FDFF"/>
      <name val="Tahoma"/>
      <family val="2"/>
      <charset val="204"/>
    </font>
    <font>
      <b/>
      <sz val="12"/>
      <name val="Calibri"/>
      <family val="2"/>
      <charset val="204"/>
    </font>
    <font>
      <b/>
      <i/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2"/>
      <color rgb="FFFFFFFF"/>
      <name val="Tahoma"/>
      <family val="2"/>
      <charset val="204"/>
    </font>
    <font>
      <b/>
      <sz val="8"/>
      <color rgb="FFFFFFFF"/>
      <name val="Tahoma"/>
      <family val="2"/>
      <charset val="204"/>
    </font>
    <font>
      <sz val="12"/>
      <color rgb="FFFFFFFF"/>
      <name val="Arial Narrow"/>
      <family val="2"/>
      <charset val="204"/>
    </font>
    <font>
      <sz val="12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color rgb="FFFFFFFF"/>
      <name val="Arial Narrow"/>
      <family val="2"/>
      <charset val="204"/>
    </font>
    <font>
      <u/>
      <sz val="12"/>
      <color rgb="FFFFFFFF"/>
      <name val="Arial Narrow"/>
      <family val="2"/>
      <charset val="204"/>
    </font>
    <font>
      <sz val="10"/>
      <color rgb="FFFFFFFF"/>
      <name val="Arial Cyr"/>
      <family val="2"/>
      <charset val="204"/>
    </font>
    <font>
      <sz val="12"/>
      <color rgb="FF000000"/>
      <name val="Tahoma"/>
      <family val="2"/>
      <charset val="1"/>
    </font>
    <font>
      <sz val="11"/>
      <color rgb="FF000000"/>
      <name val="Tahoma"/>
      <family val="2"/>
      <charset val="1"/>
    </font>
    <font>
      <sz val="8"/>
      <color rgb="FF000000"/>
      <name val="Tahoma"/>
      <family val="2"/>
      <charset val="204"/>
    </font>
    <font>
      <b/>
      <sz val="9"/>
      <color rgb="FF000000"/>
      <name val="Tahoma"/>
      <charset val="1"/>
    </font>
    <font>
      <sz val="10"/>
      <name val="Arial"/>
      <family val="2"/>
      <charset val="1"/>
    </font>
    <font>
      <b/>
      <sz val="12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sz val="11"/>
      <color rgb="FF000000"/>
      <name val="Calibri"/>
      <family val="2"/>
      <charset val="204"/>
    </font>
    <font>
      <sz val="12"/>
      <name val="Arial Narrow"/>
      <family val="2"/>
    </font>
    <font>
      <sz val="12"/>
      <color rgb="FFFFFFFF"/>
      <name val="Arial Narrow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E7FDFF"/>
      </patternFill>
    </fill>
    <fill>
      <patternFill patternType="solid">
        <fgColor rgb="FFFF99CC"/>
        <bgColor rgb="FFFF8080"/>
      </patternFill>
    </fill>
    <fill>
      <patternFill patternType="solid">
        <fgColor rgb="FFC0C0C0"/>
        <bgColor rgb="FFB7DEE8"/>
      </patternFill>
    </fill>
    <fill>
      <patternFill patternType="solid">
        <fgColor rgb="FFFF0000"/>
        <bgColor rgb="FF993300"/>
      </patternFill>
    </fill>
    <fill>
      <patternFill patternType="solid">
        <fgColor rgb="FF99CC00"/>
        <bgColor rgb="FF81D41A"/>
      </patternFill>
    </fill>
    <fill>
      <patternFill patternType="solid">
        <fgColor rgb="FFFFFFFF"/>
        <bgColor rgb="FFE7FDFF"/>
      </patternFill>
    </fill>
    <fill>
      <patternFill patternType="solid">
        <fgColor rgb="FFB7DEE8"/>
        <bgColor rgb="FF99CCFF"/>
      </patternFill>
    </fill>
    <fill>
      <patternFill patternType="solid">
        <fgColor rgb="FF92D050"/>
        <bgColor rgb="FF81D41A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C0C0C0"/>
      </patternFill>
    </fill>
  </fills>
  <borders count="20">
    <border>
      <left/>
      <right/>
      <top/>
      <bottom/>
      <diagonal/>
    </border>
    <border>
      <left style="thin">
        <color rgb="FF1F1C1B"/>
      </left>
      <right style="thin">
        <color rgb="FF1F1C1B"/>
      </right>
      <top style="thin">
        <color rgb="FF1F1C1B"/>
      </top>
      <bottom style="thin">
        <color rgb="FF1F1C1B"/>
      </bottom>
      <diagonal/>
    </border>
    <border>
      <left style="thin">
        <color rgb="FF1F1C1B"/>
      </left>
      <right style="thin">
        <color rgb="FF1F1C1B"/>
      </right>
      <top style="thin">
        <color rgb="FF1F1C1B"/>
      </top>
      <bottom/>
      <diagonal/>
    </border>
    <border>
      <left style="thin">
        <color rgb="FF1F1C1B"/>
      </left>
      <right style="thin">
        <color rgb="FF1F1C1B"/>
      </right>
      <top/>
      <bottom style="thin">
        <color rgb="FF1F1C1B"/>
      </bottom>
      <diagonal/>
    </border>
    <border>
      <left style="thin">
        <color rgb="FF1F1C1B"/>
      </left>
      <right/>
      <top/>
      <bottom style="thin">
        <color rgb="FF1F1C1B"/>
      </bottom>
      <diagonal/>
    </border>
    <border>
      <left style="thin">
        <color rgb="FF1F1C1B"/>
      </left>
      <right/>
      <top style="thin">
        <color rgb="FF1F1C1B"/>
      </top>
      <bottom style="thin">
        <color rgb="FF1F1C1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F1C1B"/>
      </right>
      <top style="thin">
        <color rgb="FF1F1C1B"/>
      </top>
      <bottom style="thin">
        <color rgb="FF1F1C1B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F1C1B"/>
      </left>
      <right/>
      <top style="thin">
        <color rgb="FF1F1C1B"/>
      </top>
      <bottom/>
      <diagonal/>
    </border>
    <border>
      <left/>
      <right style="thin">
        <color rgb="FF1F1C1B"/>
      </right>
      <top style="thin">
        <color rgb="FF1F1C1B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27" fillId="0" borderId="0" applyBorder="0" applyProtection="0"/>
    <xf numFmtId="0" fontId="55" fillId="0" borderId="0"/>
  </cellStyleXfs>
  <cellXfs count="38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Border="1"/>
    <xf numFmtId="164" fontId="3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3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1" fontId="1" fillId="2" borderId="0" xfId="0" applyNumberFormat="1" applyFont="1" applyFill="1" applyAlignment="1">
      <alignment horizontal="left"/>
    </xf>
    <xf numFmtId="164" fontId="3" fillId="0" borderId="1" xfId="0" applyNumberFormat="1" applyFont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64" fontId="3" fillId="0" borderId="0" xfId="0" applyNumberFormat="1" applyFont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5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1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Border="1"/>
    <xf numFmtId="164" fontId="3" fillId="0" borderId="0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10" fillId="0" borderId="1" xfId="0" applyFont="1" applyBorder="1"/>
    <xf numFmtId="164" fontId="0" fillId="0" borderId="1" xfId="0" applyNumberFormat="1" applyBorder="1"/>
    <xf numFmtId="1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3" fillId="0" borderId="0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164" fontId="11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3" fillId="0" borderId="1" xfId="0" applyFont="1" applyBorder="1" applyAlignment="1"/>
    <xf numFmtId="0" fontId="3" fillId="0" borderId="0" xfId="0" applyFont="1" applyBorder="1"/>
    <xf numFmtId="164" fontId="15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1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3" fillId="4" borderId="0" xfId="0" applyFont="1" applyFill="1" applyBorder="1"/>
    <xf numFmtId="0" fontId="18" fillId="0" borderId="1" xfId="0" applyFont="1" applyBorder="1"/>
    <xf numFmtId="0" fontId="6" fillId="0" borderId="1" xfId="0" applyFont="1" applyBorder="1"/>
    <xf numFmtId="0" fontId="0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19" fillId="0" borderId="1" xfId="0" applyFont="1" applyBorder="1"/>
    <xf numFmtId="164" fontId="16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17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textRotation="90"/>
    </xf>
    <xf numFmtId="164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164" fontId="25" fillId="8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3" fillId="0" borderId="1" xfId="0" applyFont="1" applyBorder="1" applyAlignment="1">
      <alignment horizontal="center" textRotation="90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1" fontId="17" fillId="2" borderId="1" xfId="0" applyNumberFormat="1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17" fillId="8" borderId="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17" fillId="0" borderId="1" xfId="0" applyFont="1" applyBorder="1"/>
    <xf numFmtId="1" fontId="6" fillId="0" borderId="1" xfId="0" applyNumberFormat="1" applyFont="1" applyBorder="1" applyAlignment="1">
      <alignment horizontal="center"/>
    </xf>
    <xf numFmtId="1" fontId="17" fillId="8" borderId="1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17" fillId="0" borderId="2" xfId="0" applyFont="1" applyBorder="1"/>
    <xf numFmtId="0" fontId="23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7" fillId="0" borderId="0" xfId="1" applyBorder="1" applyAlignment="1" applyProtection="1"/>
    <xf numFmtId="0" fontId="17" fillId="0" borderId="0" xfId="0" applyFont="1" applyBorder="1"/>
    <xf numFmtId="1" fontId="17" fillId="0" borderId="1" xfId="0" applyNumberFormat="1" applyFont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164" fontId="28" fillId="8" borderId="1" xfId="0" applyNumberFormat="1" applyFont="1" applyFill="1" applyBorder="1" applyAlignment="1">
      <alignment horizontal="center"/>
    </xf>
    <xf numFmtId="0" fontId="29" fillId="0" borderId="0" xfId="0" applyFont="1" applyBorder="1"/>
    <xf numFmtId="1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/>
    <xf numFmtId="1" fontId="23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/>
    <xf numFmtId="0" fontId="17" fillId="2" borderId="0" xfId="0" applyFont="1" applyFill="1" applyBorder="1"/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17" fillId="0" borderId="1" xfId="0" applyFont="1" applyBorder="1" applyAlignment="1"/>
    <xf numFmtId="0" fontId="31" fillId="0" borderId="1" xfId="0" applyFont="1" applyBorder="1" applyAlignment="1">
      <alignment horizontal="center"/>
    </xf>
    <xf numFmtId="164" fontId="17" fillId="0" borderId="0" xfId="0" applyNumberFormat="1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textRotation="90"/>
    </xf>
    <xf numFmtId="0" fontId="23" fillId="0" borderId="1" xfId="0" applyFont="1" applyBorder="1" applyAlignment="1">
      <alignment horizontal="center" vertical="center" textRotation="90"/>
    </xf>
    <xf numFmtId="0" fontId="23" fillId="0" borderId="1" xfId="0" applyFont="1" applyBorder="1" applyAlignment="1">
      <alignment horizontal="center" vertical="center"/>
    </xf>
    <xf numFmtId="164" fontId="17" fillId="0" borderId="1" xfId="0" applyNumberFormat="1" applyFont="1" applyBorder="1"/>
    <xf numFmtId="164" fontId="17" fillId="5" borderId="1" xfId="0" applyNumberFormat="1" applyFont="1" applyFill="1" applyBorder="1"/>
    <xf numFmtId="1" fontId="17" fillId="0" borderId="1" xfId="0" applyNumberFormat="1" applyFont="1" applyBorder="1" applyAlignment="1">
      <alignment horizontal="center"/>
    </xf>
    <xf numFmtId="0" fontId="24" fillId="0" borderId="1" xfId="0" applyFont="1" applyBorder="1"/>
    <xf numFmtId="1" fontId="0" fillId="0" borderId="1" xfId="0" applyNumberFormat="1" applyBorder="1"/>
    <xf numFmtId="0" fontId="31" fillId="0" borderId="1" xfId="0" applyFont="1" applyBorder="1" applyAlignment="1">
      <alignment horizontal="center" wrapText="1"/>
    </xf>
    <xf numFmtId="164" fontId="17" fillId="0" borderId="0" xfId="0" applyNumberFormat="1" applyFont="1" applyBorder="1"/>
    <xf numFmtId="0" fontId="0" fillId="0" borderId="0" xfId="0"/>
    <xf numFmtId="0" fontId="3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1" fontId="17" fillId="9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17" fillId="0" borderId="3" xfId="0" applyFont="1" applyBorder="1"/>
    <xf numFmtId="0" fontId="17" fillId="0" borderId="4" xfId="0" applyFont="1" applyBorder="1" applyAlignment="1">
      <alignment horizontal="center" vertical="center"/>
    </xf>
    <xf numFmtId="0" fontId="6" fillId="0" borderId="5" xfId="0" applyFont="1" applyBorder="1" applyAlignment="1"/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0" borderId="5" xfId="1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vertical="top" wrapText="1"/>
    </xf>
    <xf numFmtId="1" fontId="3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wrapText="1"/>
    </xf>
    <xf numFmtId="0" fontId="3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/>
    </xf>
    <xf numFmtId="0" fontId="6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Border="1"/>
    <xf numFmtId="0" fontId="17" fillId="0" borderId="0" xfId="0" applyFont="1" applyAlignment="1">
      <alignment horizontal="center"/>
    </xf>
    <xf numFmtId="0" fontId="23" fillId="0" borderId="5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164" fontId="17" fillId="10" borderId="6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7" fillId="0" borderId="6" xfId="0" applyNumberFormat="1" applyFont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164" fontId="31" fillId="0" borderId="6" xfId="0" applyNumberFormat="1" applyFont="1" applyBorder="1" applyAlignment="1">
      <alignment horizontal="center" vertical="center" wrapText="1"/>
    </xf>
    <xf numFmtId="1" fontId="31" fillId="0" borderId="6" xfId="0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left" vertical="center"/>
    </xf>
    <xf numFmtId="164" fontId="17" fillId="0" borderId="7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left" vertical="center"/>
    </xf>
    <xf numFmtId="1" fontId="31" fillId="0" borderId="7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31" fillId="5" borderId="1" xfId="0" applyNumberFormat="1" applyFont="1" applyFill="1" applyBorder="1" applyAlignment="1">
      <alignment horizontal="center" vertical="center" wrapText="1"/>
    </xf>
    <xf numFmtId="164" fontId="31" fillId="5" borderId="6" xfId="0" applyNumberFormat="1" applyFont="1" applyFill="1" applyBorder="1" applyAlignment="1">
      <alignment horizontal="center" vertical="center" wrapText="1"/>
    </xf>
    <xf numFmtId="164" fontId="17" fillId="5" borderId="6" xfId="0" applyNumberFormat="1" applyFont="1" applyFill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vertical="top" wrapText="1"/>
    </xf>
    <xf numFmtId="164" fontId="17" fillId="11" borderId="6" xfId="0" applyNumberFormat="1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12" borderId="6" xfId="0" applyFont="1" applyFill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0" fontId="0" fillId="0" borderId="6" xfId="0" applyFont="1" applyBorder="1"/>
    <xf numFmtId="0" fontId="17" fillId="0" borderId="6" xfId="0" applyFont="1" applyBorder="1" applyAlignment="1"/>
    <xf numFmtId="164" fontId="17" fillId="11" borderId="6" xfId="0" applyNumberFormat="1" applyFont="1" applyFill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/>
    </xf>
    <xf numFmtId="164" fontId="31" fillId="11" borderId="6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center" wrapText="1"/>
    </xf>
    <xf numFmtId="164" fontId="17" fillId="11" borderId="6" xfId="0" applyNumberFormat="1" applyFont="1" applyFill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0" fontId="17" fillId="0" borderId="10" xfId="0" applyFont="1" applyBorder="1" applyAlignment="1"/>
    <xf numFmtId="0" fontId="31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164" fontId="17" fillId="0" borderId="10" xfId="0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/>
    </xf>
    <xf numFmtId="0" fontId="0" fillId="0" borderId="10" xfId="0" applyFont="1" applyBorder="1"/>
    <xf numFmtId="0" fontId="31" fillId="0" borderId="0" xfId="0" applyFont="1" applyBorder="1" applyAlignment="1">
      <alignment wrapText="1"/>
    </xf>
    <xf numFmtId="0" fontId="17" fillId="0" borderId="0" xfId="0" applyFont="1" applyBorder="1" applyAlignment="1"/>
    <xf numFmtId="0" fontId="31" fillId="0" borderId="0" xfId="0" applyFont="1" applyBorder="1" applyAlignment="1">
      <alignment horizontal="center" wrapText="1"/>
    </xf>
    <xf numFmtId="164" fontId="17" fillId="0" borderId="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7" fillId="12" borderId="6" xfId="0" applyFont="1" applyFill="1" applyBorder="1" applyAlignment="1">
      <alignment wrapText="1"/>
    </xf>
    <xf numFmtId="164" fontId="17" fillId="5" borderId="6" xfId="0" applyNumberFormat="1" applyFon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43" fillId="0" borderId="6" xfId="0" applyFont="1" applyBorder="1"/>
    <xf numFmtId="0" fontId="31" fillId="12" borderId="6" xfId="0" applyFont="1" applyFill="1" applyBorder="1" applyAlignment="1">
      <alignment wrapText="1"/>
    </xf>
    <xf numFmtId="0" fontId="17" fillId="12" borderId="6" xfId="0" applyFont="1" applyFill="1" applyBorder="1" applyAlignment="1">
      <alignment horizontal="left"/>
    </xf>
    <xf numFmtId="1" fontId="17" fillId="0" borderId="6" xfId="0" applyNumberFormat="1" applyFont="1" applyBorder="1" applyAlignment="1">
      <alignment horizontal="center"/>
    </xf>
    <xf numFmtId="0" fontId="31" fillId="12" borderId="6" xfId="0" applyFont="1" applyFill="1" applyBorder="1" applyAlignment="1">
      <alignment horizontal="left" vertical="center" wrapText="1"/>
    </xf>
    <xf numFmtId="0" fontId="17" fillId="0" borderId="6" xfId="0" applyFont="1" applyBorder="1"/>
    <xf numFmtId="0" fontId="44" fillId="0" borderId="6" xfId="0" applyFont="1" applyBorder="1"/>
    <xf numFmtId="0" fontId="17" fillId="12" borderId="6" xfId="0" applyFont="1" applyFill="1" applyBorder="1"/>
    <xf numFmtId="164" fontId="17" fillId="0" borderId="12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/>
    </xf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164" fontId="17" fillId="0" borderId="14" xfId="0" applyNumberFormat="1" applyFont="1" applyBorder="1" applyAlignment="1">
      <alignment horizontal="center"/>
    </xf>
    <xf numFmtId="164" fontId="17" fillId="0" borderId="10" xfId="0" applyNumberFormat="1" applyFont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64" fontId="17" fillId="0" borderId="14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/>
    <xf numFmtId="0" fontId="31" fillId="0" borderId="6" xfId="0" applyFont="1" applyBorder="1"/>
    <xf numFmtId="0" fontId="31" fillId="0" borderId="6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left" wrapText="1"/>
    </xf>
    <xf numFmtId="0" fontId="45" fillId="0" borderId="6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/>
    </xf>
    <xf numFmtId="164" fontId="31" fillId="0" borderId="6" xfId="0" applyNumberFormat="1" applyFont="1" applyBorder="1" applyAlignment="1">
      <alignment horizontal="center" wrapText="1"/>
    </xf>
    <xf numFmtId="164" fontId="31" fillId="0" borderId="6" xfId="0" applyNumberFormat="1" applyFont="1" applyBorder="1" applyAlignment="1">
      <alignment horizontal="center" vertical="center" wrapText="1"/>
    </xf>
    <xf numFmtId="164" fontId="31" fillId="0" borderId="6" xfId="0" applyNumberFormat="1" applyFont="1" applyBorder="1" applyAlignment="1">
      <alignment horizontal="center"/>
    </xf>
    <xf numFmtId="0" fontId="31" fillId="2" borderId="6" xfId="0" applyFont="1" applyFill="1" applyBorder="1" applyAlignment="1">
      <alignment horizontal="center"/>
    </xf>
    <xf numFmtId="164" fontId="17" fillId="5" borderId="6" xfId="0" applyNumberFormat="1" applyFont="1" applyFill="1" applyBorder="1"/>
    <xf numFmtId="164" fontId="17" fillId="0" borderId="6" xfId="0" applyNumberFormat="1" applyFont="1" applyBorder="1"/>
    <xf numFmtId="0" fontId="17" fillId="0" borderId="6" xfId="0" applyFont="1" applyBorder="1"/>
    <xf numFmtId="164" fontId="31" fillId="5" borderId="6" xfId="0" applyNumberFormat="1" applyFont="1" applyFill="1" applyBorder="1" applyAlignment="1">
      <alignment horizontal="center"/>
    </xf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center"/>
    </xf>
    <xf numFmtId="0" fontId="31" fillId="0" borderId="6" xfId="0" applyFont="1" applyBorder="1" applyAlignment="1">
      <alignment horizontal="center" wrapText="1"/>
    </xf>
    <xf numFmtId="0" fontId="46" fillId="0" borderId="6" xfId="1" applyFont="1" applyBorder="1" applyAlignment="1" applyProtection="1">
      <alignment horizontal="center" wrapText="1"/>
    </xf>
    <xf numFmtId="0" fontId="17" fillId="5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7" fillId="0" borderId="6" xfId="0" applyFont="1" applyBorder="1"/>
    <xf numFmtId="0" fontId="40" fillId="0" borderId="6" xfId="0" applyFont="1" applyBorder="1"/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top" wrapText="1"/>
    </xf>
    <xf numFmtId="1" fontId="17" fillId="12" borderId="6" xfId="0" applyNumberFormat="1" applyFont="1" applyFill="1" applyBorder="1" applyAlignment="1">
      <alignment horizontal="center"/>
    </xf>
    <xf numFmtId="164" fontId="31" fillId="0" borderId="6" xfId="0" applyNumberFormat="1" applyFont="1" applyBorder="1" applyAlignment="1">
      <alignment horizontal="center"/>
    </xf>
    <xf numFmtId="1" fontId="31" fillId="12" borderId="6" xfId="0" applyNumberFormat="1" applyFont="1" applyFill="1" applyBorder="1" applyAlignment="1">
      <alignment horizontal="center"/>
    </xf>
    <xf numFmtId="164" fontId="17" fillId="0" borderId="6" xfId="0" applyNumberFormat="1" applyFont="1" applyBorder="1"/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/>
    </xf>
    <xf numFmtId="0" fontId="23" fillId="0" borderId="6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 vertical="center"/>
    </xf>
    <xf numFmtId="164" fontId="17" fillId="2" borderId="6" xfId="0" applyNumberFormat="1" applyFont="1" applyFill="1" applyBorder="1" applyAlignment="1">
      <alignment horizontal="center"/>
    </xf>
    <xf numFmtId="0" fontId="17" fillId="13" borderId="6" xfId="0" applyFon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 vertical="center"/>
    </xf>
    <xf numFmtId="164" fontId="17" fillId="14" borderId="6" xfId="0" applyNumberFormat="1" applyFont="1" applyFill="1" applyBorder="1" applyAlignment="1">
      <alignment horizontal="center"/>
    </xf>
    <xf numFmtId="0" fontId="17" fillId="0" borderId="16" xfId="0" applyFont="1" applyBorder="1"/>
    <xf numFmtId="0" fontId="23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textRotation="90"/>
    </xf>
    <xf numFmtId="0" fontId="23" fillId="0" borderId="17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textRotation="90" wrapText="1"/>
    </xf>
    <xf numFmtId="0" fontId="45" fillId="0" borderId="17" xfId="0" applyFont="1" applyBorder="1" applyAlignment="1">
      <alignment horizontal="center" vertical="center"/>
    </xf>
    <xf numFmtId="0" fontId="29" fillId="0" borderId="0" xfId="0" applyFont="1"/>
    <xf numFmtId="0" fontId="31" fillId="0" borderId="17" xfId="0" applyFont="1" applyBorder="1"/>
    <xf numFmtId="0" fontId="17" fillId="0" borderId="17" xfId="0" applyFont="1" applyBorder="1" applyAlignment="1">
      <alignment horizontal="center"/>
    </xf>
    <xf numFmtId="0" fontId="17" fillId="0" borderId="17" xfId="0" applyFont="1" applyBorder="1" applyAlignment="1">
      <alignment wrapText="1"/>
    </xf>
    <xf numFmtId="164" fontId="17" fillId="0" borderId="17" xfId="0" applyNumberFormat="1" applyFont="1" applyBorder="1"/>
    <xf numFmtId="0" fontId="40" fillId="0" borderId="17" xfId="0" applyFont="1" applyBorder="1"/>
    <xf numFmtId="0" fontId="17" fillId="0" borderId="17" xfId="0" applyFont="1" applyBorder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53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0" xfId="0" applyFont="1"/>
    <xf numFmtId="0" fontId="54" fillId="0" borderId="6" xfId="0" applyFont="1" applyBorder="1"/>
    <xf numFmtId="0" fontId="54" fillId="0" borderId="6" xfId="0" applyFont="1" applyBorder="1" applyAlignment="1">
      <alignment horizontal="center"/>
    </xf>
    <xf numFmtId="0" fontId="54" fillId="0" borderId="6" xfId="0" applyFont="1" applyBorder="1" applyAlignment="1">
      <alignment horizontal="left" wrapText="1"/>
    </xf>
    <xf numFmtId="0" fontId="54" fillId="0" borderId="6" xfId="2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164" fontId="6" fillId="0" borderId="6" xfId="0" applyNumberFormat="1" applyFont="1" applyBorder="1"/>
    <xf numFmtId="0" fontId="56" fillId="0" borderId="6" xfId="0" applyFont="1" applyBorder="1" applyAlignment="1">
      <alignment horizontal="center"/>
    </xf>
    <xf numFmtId="0" fontId="57" fillId="0" borderId="18" xfId="0" applyFont="1" applyBorder="1"/>
    <xf numFmtId="0" fontId="6" fillId="0" borderId="17" xfId="0" applyFont="1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0" fontId="54" fillId="0" borderId="6" xfId="0" applyFont="1" applyBorder="1" applyAlignment="1"/>
    <xf numFmtId="0" fontId="6" fillId="0" borderId="19" xfId="0" applyFont="1" applyBorder="1"/>
    <xf numFmtId="0" fontId="6" fillId="0" borderId="19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57" fillId="0" borderId="17" xfId="0" applyFont="1" applyBorder="1"/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center"/>
    </xf>
  </cellXfs>
  <cellStyles count="3">
    <cellStyle name="Гіперпосилання" xfId="1" builtinId="8"/>
    <cellStyle name="Звичайний" xfId="0" builtinId="0"/>
    <cellStyle name="Звичайни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1D41A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FD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2D050"/>
      <rgbColor rgb="FF003366"/>
      <rgbColor rgb="FF339966"/>
      <rgbColor rgb="FF003300"/>
      <rgbColor rgb="FF1F1C1B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9000</xdr:colOff>
      <xdr:row>23</xdr:row>
      <xdr:rowOff>56880</xdr:rowOff>
    </xdr:to>
    <xdr:pic>
      <xdr:nvPicPr>
        <xdr:cNvPr id="2" name="Рисунок 1" descr="https://ssl.gstatic.com/ui/v1/icons/mail/images/cleardot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000" cy="5447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9000</xdr:colOff>
      <xdr:row>41</xdr:row>
      <xdr:rowOff>66240</xdr:rowOff>
    </xdr:to>
    <xdr:pic>
      <xdr:nvPicPr>
        <xdr:cNvPr id="3" name="Рисунок 2" descr="https://ssl.gstatic.com/ui/v1/icons/mail/images/cleardot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000" cy="92289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veronika.netch@gmail.com" TargetMode="External"/><Relationship Id="rId3" Type="http://schemas.openxmlformats.org/officeDocument/2006/relationships/hyperlink" Target="mailto:nikermax@ukr.net" TargetMode="External"/><Relationship Id="rId7" Type="http://schemas.openxmlformats.org/officeDocument/2006/relationships/hyperlink" Target="mailto:ole.bilyk@gmail.com" TargetMode="External"/><Relationship Id="rId2" Type="http://schemas.openxmlformats.org/officeDocument/2006/relationships/hyperlink" Target="mailto:filkinkuiv@gmail.com" TargetMode="External"/><Relationship Id="rId1" Type="http://schemas.openxmlformats.org/officeDocument/2006/relationships/hyperlink" Target="mailto:a.i.kovrigin@gmail.com" TargetMode="External"/><Relationship Id="rId6" Type="http://schemas.openxmlformats.org/officeDocument/2006/relationships/hyperlink" Target="mailto:denis.shcherbak@gmail.com" TargetMode="External"/><Relationship Id="rId11" Type="http://schemas.openxmlformats.org/officeDocument/2006/relationships/comments" Target="../comments16.xml"/><Relationship Id="rId5" Type="http://schemas.openxmlformats.org/officeDocument/2006/relationships/hyperlink" Target="mailto:antvakhitov@gmail.com" TargetMode="External"/><Relationship Id="rId10" Type="http://schemas.openxmlformats.org/officeDocument/2006/relationships/vmlDrawing" Target="../drawings/vmlDrawing16.vml"/><Relationship Id="rId4" Type="http://schemas.openxmlformats.org/officeDocument/2006/relationships/hyperlink" Target="mailto:vanya.ramik@gmail.com" TargetMode="External"/><Relationship Id="rId9" Type="http://schemas.openxmlformats.org/officeDocument/2006/relationships/hyperlink" Target="mailto:astopchatyy@g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7"/>
  <sheetViews>
    <sheetView zoomScaleNormal="100" workbookViewId="0">
      <selection activeCell="L2" sqref="L2"/>
    </sheetView>
  </sheetViews>
  <sheetFormatPr defaultColWidth="9.140625" defaultRowHeight="12.75" x14ac:dyDescent="0.2"/>
  <cols>
    <col min="1" max="1" width="26" style="1" customWidth="1"/>
    <col min="2" max="2" width="6.28515625" style="1" customWidth="1"/>
    <col min="3" max="3" width="9.140625" style="1"/>
    <col min="4" max="4" width="5.140625" style="1" customWidth="1"/>
    <col min="5" max="5" width="6.5703125" style="1" customWidth="1"/>
    <col min="6" max="6" width="6.42578125" style="1" customWidth="1"/>
    <col min="7" max="7" width="6.28515625" style="1" customWidth="1"/>
    <col min="8" max="8" width="6.42578125" style="1" customWidth="1"/>
    <col min="9" max="9" width="5.85546875" style="1" customWidth="1"/>
    <col min="10" max="10" width="6.28515625" style="1" customWidth="1"/>
    <col min="11" max="11" width="5.28515625" style="1" customWidth="1"/>
    <col min="12" max="12" width="6.140625" style="1" customWidth="1"/>
    <col min="13" max="13" width="11" style="1" customWidth="1"/>
    <col min="14" max="1024" width="9.140625" style="1"/>
  </cols>
  <sheetData>
    <row r="1" spans="1:13" s="3" customFormat="1" ht="15.95" customHeight="1" x14ac:dyDescent="0.2">
      <c r="A1" s="2" t="s">
        <v>0</v>
      </c>
      <c r="B1" s="2" t="s">
        <v>1</v>
      </c>
      <c r="C1" s="2" t="s">
        <v>2</v>
      </c>
      <c r="D1" s="2">
        <v>1</v>
      </c>
      <c r="E1" s="2">
        <v>2</v>
      </c>
      <c r="F1" s="2">
        <v>3</v>
      </c>
      <c r="G1" s="2">
        <v>4</v>
      </c>
      <c r="H1" s="2">
        <v>5</v>
      </c>
      <c r="I1" s="2">
        <v>6</v>
      </c>
      <c r="J1" s="2">
        <v>7</v>
      </c>
      <c r="K1" s="2">
        <v>8</v>
      </c>
      <c r="L1" s="2" t="s">
        <v>3</v>
      </c>
      <c r="M1" s="2" t="s">
        <v>4</v>
      </c>
    </row>
    <row r="2" spans="1:13" ht="15.95" customHeight="1" x14ac:dyDescent="0.2">
      <c r="A2" s="4" t="s">
        <v>5</v>
      </c>
      <c r="B2" s="5">
        <v>10</v>
      </c>
      <c r="C2" s="6" t="s">
        <v>6</v>
      </c>
      <c r="D2" s="7" t="s">
        <v>7</v>
      </c>
      <c r="E2" s="7" t="s">
        <v>7</v>
      </c>
      <c r="F2" s="7" t="s">
        <v>7</v>
      </c>
      <c r="G2" s="7" t="s">
        <v>7</v>
      </c>
      <c r="H2" s="8" t="s">
        <v>8</v>
      </c>
      <c r="I2" s="7" t="s">
        <v>7</v>
      </c>
      <c r="J2" s="7" t="s">
        <v>7</v>
      </c>
      <c r="K2" s="8" t="s">
        <v>9</v>
      </c>
      <c r="L2" s="4" t="s">
        <v>10</v>
      </c>
      <c r="M2" s="2" t="s">
        <v>11</v>
      </c>
    </row>
    <row r="3" spans="1:13" ht="15.95" customHeight="1" x14ac:dyDescent="0.2">
      <c r="A3" s="4" t="s">
        <v>12</v>
      </c>
      <c r="B3" s="5">
        <v>11</v>
      </c>
      <c r="C3" s="6">
        <v>145</v>
      </c>
      <c r="D3" s="8" t="s">
        <v>13</v>
      </c>
      <c r="E3" s="7" t="s">
        <v>7</v>
      </c>
      <c r="F3" s="8" t="s">
        <v>14</v>
      </c>
      <c r="G3" s="7" t="s">
        <v>7</v>
      </c>
      <c r="H3" s="8" t="s">
        <v>15</v>
      </c>
      <c r="I3" s="7" t="s">
        <v>7</v>
      </c>
      <c r="J3" s="8" t="s">
        <v>16</v>
      </c>
      <c r="K3" s="9" t="s">
        <v>17</v>
      </c>
      <c r="L3" s="4" t="s">
        <v>18</v>
      </c>
      <c r="M3" s="2" t="s">
        <v>11</v>
      </c>
    </row>
    <row r="4" spans="1:13" ht="15.95" customHeight="1" x14ac:dyDescent="0.2">
      <c r="A4" s="4" t="s">
        <v>19</v>
      </c>
      <c r="B4" s="5">
        <v>11</v>
      </c>
      <c r="C4" s="6">
        <v>145</v>
      </c>
      <c r="D4" s="7" t="s">
        <v>7</v>
      </c>
      <c r="E4" s="9" t="s">
        <v>20</v>
      </c>
      <c r="F4" s="7" t="s">
        <v>7</v>
      </c>
      <c r="G4" s="8" t="s">
        <v>15</v>
      </c>
      <c r="H4" s="8" t="s">
        <v>21</v>
      </c>
      <c r="I4" s="7" t="s">
        <v>7</v>
      </c>
      <c r="J4" s="8" t="s">
        <v>22</v>
      </c>
      <c r="K4" s="7" t="s">
        <v>7</v>
      </c>
      <c r="L4" s="4" t="s">
        <v>23</v>
      </c>
      <c r="M4" s="2" t="s">
        <v>11</v>
      </c>
    </row>
    <row r="5" spans="1:13" ht="15.95" customHeight="1" x14ac:dyDescent="0.2">
      <c r="A5" s="8" t="s">
        <v>24</v>
      </c>
      <c r="B5" s="5">
        <v>11</v>
      </c>
      <c r="C5" s="6" t="s">
        <v>6</v>
      </c>
      <c r="D5" s="7" t="s">
        <v>7</v>
      </c>
      <c r="E5" s="8" t="s">
        <v>25</v>
      </c>
      <c r="F5" s="8" t="s">
        <v>26</v>
      </c>
      <c r="G5" s="8" t="s">
        <v>27</v>
      </c>
      <c r="H5" s="7" t="s">
        <v>7</v>
      </c>
      <c r="I5" s="7" t="s">
        <v>7</v>
      </c>
      <c r="J5" s="8" t="s">
        <v>28</v>
      </c>
      <c r="K5" s="9" t="s">
        <v>29</v>
      </c>
      <c r="L5" s="8" t="s">
        <v>30</v>
      </c>
      <c r="M5" s="6" t="s">
        <v>31</v>
      </c>
    </row>
    <row r="6" spans="1:13" ht="15.95" customHeight="1" x14ac:dyDescent="0.2">
      <c r="A6" s="4" t="s">
        <v>32</v>
      </c>
      <c r="B6" s="5">
        <v>9</v>
      </c>
      <c r="C6" s="6">
        <v>241</v>
      </c>
      <c r="D6" s="7" t="s">
        <v>7</v>
      </c>
      <c r="E6" s="8" t="s">
        <v>28</v>
      </c>
      <c r="F6" s="7" t="s">
        <v>7</v>
      </c>
      <c r="G6" s="8" t="s">
        <v>33</v>
      </c>
      <c r="H6" s="8" t="s">
        <v>34</v>
      </c>
      <c r="I6" s="7" t="s">
        <v>7</v>
      </c>
      <c r="J6" s="8" t="s">
        <v>35</v>
      </c>
      <c r="K6" s="8" t="s">
        <v>36</v>
      </c>
      <c r="L6" s="4" t="s">
        <v>37</v>
      </c>
      <c r="M6" s="2" t="s">
        <v>11</v>
      </c>
    </row>
    <row r="7" spans="1:13" ht="15.95" customHeight="1" x14ac:dyDescent="0.2">
      <c r="A7" s="8" t="s">
        <v>38</v>
      </c>
      <c r="B7" s="5">
        <v>10</v>
      </c>
      <c r="C7" s="6" t="s">
        <v>6</v>
      </c>
      <c r="D7" s="8" t="s">
        <v>39</v>
      </c>
      <c r="E7" s="8" t="s">
        <v>40</v>
      </c>
      <c r="F7" s="8" t="s">
        <v>41</v>
      </c>
      <c r="G7" s="7" t="s">
        <v>7</v>
      </c>
      <c r="H7" s="7" t="s">
        <v>7</v>
      </c>
      <c r="I7" s="8" t="s">
        <v>42</v>
      </c>
      <c r="J7" s="8" t="s">
        <v>39</v>
      </c>
      <c r="K7" s="9" t="s">
        <v>29</v>
      </c>
      <c r="L7" s="8" t="s">
        <v>43</v>
      </c>
      <c r="M7" s="6" t="s">
        <v>31</v>
      </c>
    </row>
    <row r="8" spans="1:13" ht="15.95" customHeight="1" x14ac:dyDescent="0.2">
      <c r="A8" s="8" t="s">
        <v>44</v>
      </c>
      <c r="B8" s="5">
        <v>11</v>
      </c>
      <c r="C8" s="6">
        <v>171</v>
      </c>
      <c r="D8" s="7" t="s">
        <v>7</v>
      </c>
      <c r="E8" s="8" t="s">
        <v>45</v>
      </c>
      <c r="F8" s="7" t="s">
        <v>7</v>
      </c>
      <c r="G8" s="8" t="s">
        <v>27</v>
      </c>
      <c r="H8" s="8" t="s">
        <v>46</v>
      </c>
      <c r="I8" s="8" t="s">
        <v>42</v>
      </c>
      <c r="J8" s="8" t="s">
        <v>28</v>
      </c>
      <c r="K8" s="9" t="s">
        <v>47</v>
      </c>
      <c r="L8" s="8" t="s">
        <v>48</v>
      </c>
      <c r="M8" s="6" t="s">
        <v>31</v>
      </c>
    </row>
    <row r="9" spans="1:13" ht="15.95" customHeight="1" x14ac:dyDescent="0.2">
      <c r="A9" s="8" t="s">
        <v>49</v>
      </c>
      <c r="B9" s="5">
        <v>11</v>
      </c>
      <c r="C9" s="6">
        <v>172</v>
      </c>
      <c r="D9" s="8" t="s">
        <v>50</v>
      </c>
      <c r="E9" s="8" t="s">
        <v>51</v>
      </c>
      <c r="F9" s="8" t="s">
        <v>52</v>
      </c>
      <c r="G9" s="8" t="s">
        <v>53</v>
      </c>
      <c r="H9" s="8" t="s">
        <v>54</v>
      </c>
      <c r="I9" s="8" t="s">
        <v>42</v>
      </c>
      <c r="J9" s="9" t="s">
        <v>29</v>
      </c>
      <c r="K9" s="8" t="s">
        <v>55</v>
      </c>
      <c r="L9" s="8" t="s">
        <v>56</v>
      </c>
      <c r="M9" s="6" t="s">
        <v>31</v>
      </c>
    </row>
    <row r="10" spans="1:13" ht="15.95" customHeight="1" x14ac:dyDescent="0.2">
      <c r="A10" s="8" t="s">
        <v>57</v>
      </c>
      <c r="B10" s="5">
        <v>11</v>
      </c>
      <c r="C10" s="6">
        <v>157</v>
      </c>
      <c r="D10" s="7" t="s">
        <v>7</v>
      </c>
      <c r="E10" s="8" t="s">
        <v>46</v>
      </c>
      <c r="F10" s="8" t="s">
        <v>50</v>
      </c>
      <c r="G10" s="8" t="s">
        <v>58</v>
      </c>
      <c r="H10" s="8" t="s">
        <v>46</v>
      </c>
      <c r="I10" s="8" t="s">
        <v>59</v>
      </c>
      <c r="J10" s="9" t="s">
        <v>60</v>
      </c>
      <c r="K10" s="8" t="s">
        <v>61</v>
      </c>
      <c r="L10" s="8" t="s">
        <v>62</v>
      </c>
      <c r="M10" s="6" t="s">
        <v>31</v>
      </c>
    </row>
    <row r="11" spans="1:13" ht="15.95" customHeight="1" x14ac:dyDescent="0.2">
      <c r="A11" s="8" t="s">
        <v>63</v>
      </c>
      <c r="B11" s="5">
        <v>11</v>
      </c>
      <c r="C11" s="6">
        <v>208</v>
      </c>
      <c r="D11" s="7" t="s">
        <v>7</v>
      </c>
      <c r="E11" s="8" t="s">
        <v>64</v>
      </c>
      <c r="F11" s="8" t="s">
        <v>50</v>
      </c>
      <c r="G11" s="8" t="s">
        <v>58</v>
      </c>
      <c r="H11" s="8" t="s">
        <v>21</v>
      </c>
      <c r="I11" s="8" t="s">
        <v>42</v>
      </c>
      <c r="J11" s="9" t="s">
        <v>60</v>
      </c>
      <c r="K11" s="8" t="s">
        <v>65</v>
      </c>
      <c r="L11" s="8" t="s">
        <v>66</v>
      </c>
      <c r="M11" s="6" t="s">
        <v>31</v>
      </c>
    </row>
    <row r="12" spans="1:13" ht="15.95" customHeight="1" x14ac:dyDescent="0.2">
      <c r="A12" s="8" t="s">
        <v>67</v>
      </c>
      <c r="B12" s="5">
        <v>10</v>
      </c>
      <c r="C12" s="6">
        <v>171</v>
      </c>
      <c r="D12" s="7" t="s">
        <v>7</v>
      </c>
      <c r="E12" s="8" t="s">
        <v>46</v>
      </c>
      <c r="F12" s="7" t="s">
        <v>7</v>
      </c>
      <c r="G12" s="8" t="s">
        <v>33</v>
      </c>
      <c r="H12" s="8" t="s">
        <v>68</v>
      </c>
      <c r="I12" s="8" t="s">
        <v>42</v>
      </c>
      <c r="J12" s="8" t="s">
        <v>60</v>
      </c>
      <c r="K12" s="9" t="s">
        <v>69</v>
      </c>
      <c r="L12" s="8" t="s">
        <v>70</v>
      </c>
      <c r="M12" s="6" t="s">
        <v>31</v>
      </c>
    </row>
    <row r="13" spans="1:13" ht="15.95" customHeight="1" x14ac:dyDescent="0.2">
      <c r="A13" s="8" t="s">
        <v>71</v>
      </c>
      <c r="B13" s="5">
        <v>10</v>
      </c>
      <c r="C13" s="6">
        <v>145</v>
      </c>
      <c r="D13" s="8" t="s">
        <v>61</v>
      </c>
      <c r="E13" s="8" t="s">
        <v>72</v>
      </c>
      <c r="F13" s="8" t="s">
        <v>50</v>
      </c>
      <c r="G13" s="8" t="s">
        <v>73</v>
      </c>
      <c r="H13" s="8" t="s">
        <v>74</v>
      </c>
      <c r="I13" s="7" t="s">
        <v>7</v>
      </c>
      <c r="J13" s="8" t="s">
        <v>64</v>
      </c>
      <c r="K13" s="9" t="s">
        <v>29</v>
      </c>
      <c r="L13" s="8" t="s">
        <v>75</v>
      </c>
      <c r="M13" s="6" t="s">
        <v>31</v>
      </c>
    </row>
    <row r="14" spans="1:13" ht="15.95" customHeight="1" x14ac:dyDescent="0.2">
      <c r="A14" s="8" t="s">
        <v>76</v>
      </c>
      <c r="B14" s="5">
        <v>9</v>
      </c>
      <c r="C14" s="6">
        <v>145</v>
      </c>
      <c r="D14" s="8" t="s">
        <v>77</v>
      </c>
      <c r="E14" s="8" t="s">
        <v>78</v>
      </c>
      <c r="F14" s="8" t="s">
        <v>78</v>
      </c>
      <c r="G14" s="8" t="s">
        <v>79</v>
      </c>
      <c r="H14" s="8" t="s">
        <v>80</v>
      </c>
      <c r="I14" s="8" t="s">
        <v>42</v>
      </c>
      <c r="J14" s="8" t="s">
        <v>81</v>
      </c>
      <c r="K14" s="9" t="s">
        <v>82</v>
      </c>
      <c r="L14" s="8" t="s">
        <v>83</v>
      </c>
      <c r="M14" s="6" t="s">
        <v>31</v>
      </c>
    </row>
    <row r="15" spans="1:13" ht="15.95" customHeight="1" x14ac:dyDescent="0.2">
      <c r="A15" s="8" t="s">
        <v>84</v>
      </c>
      <c r="B15" s="5">
        <v>9</v>
      </c>
      <c r="C15" s="6">
        <v>145</v>
      </c>
      <c r="D15" s="8" t="s">
        <v>61</v>
      </c>
      <c r="E15" s="8" t="s">
        <v>78</v>
      </c>
      <c r="F15" s="8" t="s">
        <v>72</v>
      </c>
      <c r="G15" s="8" t="s">
        <v>29</v>
      </c>
      <c r="H15" s="8" t="s">
        <v>85</v>
      </c>
      <c r="I15" s="8" t="s">
        <v>86</v>
      </c>
      <c r="J15" s="8" t="s">
        <v>81</v>
      </c>
      <c r="K15" s="9" t="s">
        <v>29</v>
      </c>
      <c r="L15" s="8" t="s">
        <v>87</v>
      </c>
      <c r="M15" s="6" t="s">
        <v>31</v>
      </c>
    </row>
    <row r="16" spans="1:13" ht="15.95" customHeight="1" x14ac:dyDescent="0.2">
      <c r="A16" s="8" t="s">
        <v>88</v>
      </c>
      <c r="B16" s="5">
        <v>11</v>
      </c>
      <c r="C16" s="6" t="s">
        <v>6</v>
      </c>
      <c r="D16" s="8" t="s">
        <v>46</v>
      </c>
      <c r="E16" s="8" t="s">
        <v>89</v>
      </c>
      <c r="F16" s="8" t="s">
        <v>90</v>
      </c>
      <c r="G16" s="8" t="s">
        <v>29</v>
      </c>
      <c r="H16" s="8" t="s">
        <v>29</v>
      </c>
      <c r="I16" s="8" t="s">
        <v>29</v>
      </c>
      <c r="J16" s="8" t="s">
        <v>29</v>
      </c>
      <c r="K16" s="8" t="s">
        <v>29</v>
      </c>
      <c r="L16" s="8" t="s">
        <v>91</v>
      </c>
      <c r="M16" s="6" t="s">
        <v>31</v>
      </c>
    </row>
    <row r="17" spans="1:13" ht="15.95" customHeight="1" x14ac:dyDescent="0.2">
      <c r="A17" s="8" t="s">
        <v>92</v>
      </c>
      <c r="B17" s="5">
        <v>9</v>
      </c>
      <c r="C17" s="6">
        <v>171</v>
      </c>
      <c r="D17" s="8" t="s">
        <v>29</v>
      </c>
      <c r="E17" s="8" t="s">
        <v>29</v>
      </c>
      <c r="F17" s="8" t="s">
        <v>81</v>
      </c>
      <c r="G17" s="8" t="s">
        <v>79</v>
      </c>
      <c r="H17" s="8" t="s">
        <v>85</v>
      </c>
      <c r="I17" s="8" t="s">
        <v>29</v>
      </c>
      <c r="J17" s="8" t="s">
        <v>29</v>
      </c>
      <c r="K17" s="9" t="s">
        <v>29</v>
      </c>
      <c r="L17" s="8" t="s">
        <v>93</v>
      </c>
      <c r="M17" s="6" t="s">
        <v>31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8"/>
  <sheetViews>
    <sheetView zoomScaleNormal="100" workbookViewId="0">
      <selection activeCell="A10" sqref="A10"/>
    </sheetView>
  </sheetViews>
  <sheetFormatPr defaultColWidth="9.140625" defaultRowHeight="15.75" x14ac:dyDescent="0.25"/>
  <cols>
    <col min="1" max="1" width="32.7109375" style="10" customWidth="1"/>
    <col min="2" max="2" width="3.85546875" style="22" customWidth="1"/>
    <col min="3" max="3" width="3.42578125" style="121" customWidth="1"/>
    <col min="4" max="4" width="5.7109375" style="146" customWidth="1"/>
    <col min="5" max="8" width="5.7109375" style="23" customWidth="1"/>
    <col min="9" max="9" width="7.140625" style="147" customWidth="1"/>
    <col min="10" max="11" width="5.7109375" style="11" customWidth="1"/>
    <col min="12" max="12" width="5.7109375" style="22" customWidth="1"/>
    <col min="13" max="13" width="8.140625" style="24" customWidth="1"/>
    <col min="14" max="14" width="11.5703125" style="10" hidden="1" customWidth="1"/>
    <col min="15" max="15" width="11.5703125" style="16" hidden="1" customWidth="1"/>
    <col min="16" max="1024" width="9.140625" style="10"/>
  </cols>
  <sheetData>
    <row r="1" spans="1:58" s="112" customFormat="1" ht="37.5" customHeight="1" x14ac:dyDescent="0.25">
      <c r="A1" s="107" t="s">
        <v>119</v>
      </c>
      <c r="B1" s="108" t="s">
        <v>2</v>
      </c>
      <c r="C1" s="122" t="s">
        <v>1</v>
      </c>
      <c r="D1" s="148" t="s">
        <v>298</v>
      </c>
      <c r="E1" s="123" t="s">
        <v>261</v>
      </c>
      <c r="F1" s="123" t="s">
        <v>299</v>
      </c>
      <c r="G1" s="123" t="s">
        <v>300</v>
      </c>
      <c r="H1" s="123" t="s">
        <v>301</v>
      </c>
      <c r="I1" s="124" t="s">
        <v>302</v>
      </c>
      <c r="J1" s="124" t="s">
        <v>303</v>
      </c>
      <c r="K1" s="124" t="s">
        <v>304</v>
      </c>
      <c r="L1" s="107" t="s">
        <v>3</v>
      </c>
      <c r="M1" s="107" t="s">
        <v>4</v>
      </c>
      <c r="O1" s="107" t="s">
        <v>305</v>
      </c>
    </row>
    <row r="2" spans="1:58" ht="15.75" customHeight="1" x14ac:dyDescent="0.25">
      <c r="A2" s="79" t="s">
        <v>278</v>
      </c>
      <c r="B2" s="73" t="s">
        <v>6</v>
      </c>
      <c r="C2" s="75">
        <v>11</v>
      </c>
      <c r="D2" s="127">
        <v>0.46153846153846201</v>
      </c>
      <c r="E2" s="125">
        <v>0.86499999999999999</v>
      </c>
      <c r="F2" s="127">
        <v>0.70833333333333304</v>
      </c>
      <c r="G2" s="127">
        <v>0.44444444444444398</v>
      </c>
      <c r="H2" s="127">
        <v>0.29411764705882398</v>
      </c>
      <c r="I2" s="127">
        <v>0.65</v>
      </c>
      <c r="J2" s="149">
        <v>1</v>
      </c>
      <c r="K2" s="127">
        <v>0.245</v>
      </c>
      <c r="L2" s="130">
        <f t="shared" ref="L2:L22" si="0">SUM(D2:K2)</f>
        <v>4.6684338863750625</v>
      </c>
      <c r="M2" s="150" t="s">
        <v>103</v>
      </c>
      <c r="N2" s="151">
        <v>5691641</v>
      </c>
      <c r="O2" s="134">
        <v>20</v>
      </c>
    </row>
    <row r="3" spans="1:58" ht="15.75" customHeight="1" x14ac:dyDescent="0.25">
      <c r="A3" s="79" t="s">
        <v>281</v>
      </c>
      <c r="B3" s="73">
        <v>171</v>
      </c>
      <c r="C3" s="152">
        <v>11</v>
      </c>
      <c r="D3" s="127">
        <v>0.38461538461538503</v>
      </c>
      <c r="E3" s="127">
        <v>0.69</v>
      </c>
      <c r="F3" s="125">
        <v>0.79166666666666696</v>
      </c>
      <c r="G3" s="127">
        <v>0.66666666666666696</v>
      </c>
      <c r="H3" s="127">
        <v>0.30098039215686301</v>
      </c>
      <c r="I3" s="125">
        <v>0.8</v>
      </c>
      <c r="J3" s="127">
        <v>0.66666666666666696</v>
      </c>
      <c r="K3" s="127">
        <v>0.28000000000000003</v>
      </c>
      <c r="L3" s="130">
        <f t="shared" si="0"/>
        <v>4.5805957767722489</v>
      </c>
      <c r="M3" s="150" t="s">
        <v>103</v>
      </c>
      <c r="O3" s="134">
        <v>9</v>
      </c>
    </row>
    <row r="4" spans="1:58" s="68" customFormat="1" ht="15.75" customHeight="1" x14ac:dyDescent="0.25">
      <c r="A4" s="79" t="s">
        <v>282</v>
      </c>
      <c r="B4" s="73">
        <v>171</v>
      </c>
      <c r="C4" s="152">
        <v>9</v>
      </c>
      <c r="D4" s="127">
        <v>0.46153846153846201</v>
      </c>
      <c r="E4" s="125">
        <v>0.96</v>
      </c>
      <c r="F4" s="127">
        <v>0.70833333333333304</v>
      </c>
      <c r="G4" s="127">
        <v>0.72222222222222199</v>
      </c>
      <c r="H4" s="127">
        <v>0.65686274509803899</v>
      </c>
      <c r="I4" s="125">
        <v>0.9</v>
      </c>
      <c r="J4" s="134">
        <v>0</v>
      </c>
      <c r="K4" s="134">
        <v>0</v>
      </c>
      <c r="L4" s="130">
        <f t="shared" si="0"/>
        <v>4.408956762192056</v>
      </c>
      <c r="M4" s="150" t="s">
        <v>103</v>
      </c>
      <c r="N4" s="10"/>
      <c r="O4" s="134">
        <v>3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15.75" customHeight="1" x14ac:dyDescent="0.25">
      <c r="A5" s="79" t="s">
        <v>255</v>
      </c>
      <c r="B5" s="73">
        <v>171</v>
      </c>
      <c r="C5" s="152">
        <v>11</v>
      </c>
      <c r="D5" s="127">
        <v>0.46153846153846201</v>
      </c>
      <c r="E5" s="127">
        <v>0.39</v>
      </c>
      <c r="F5" s="127">
        <v>0.66666666666666696</v>
      </c>
      <c r="G5" s="127">
        <v>0.44444444444444398</v>
      </c>
      <c r="H5" s="127">
        <v>0.29411764705882398</v>
      </c>
      <c r="I5" s="127">
        <v>0.62666666666666704</v>
      </c>
      <c r="J5" s="128">
        <v>0.56666666666666698</v>
      </c>
      <c r="K5" s="127">
        <v>0.42499999999999999</v>
      </c>
      <c r="L5" s="130">
        <f t="shared" si="0"/>
        <v>3.8751005530417304</v>
      </c>
      <c r="M5" s="150" t="s">
        <v>103</v>
      </c>
      <c r="O5" s="134">
        <v>5</v>
      </c>
    </row>
    <row r="6" spans="1:58" ht="15.75" customHeight="1" x14ac:dyDescent="0.25">
      <c r="A6" s="79" t="s">
        <v>256</v>
      </c>
      <c r="B6" s="73">
        <v>171</v>
      </c>
      <c r="C6" s="152">
        <v>11</v>
      </c>
      <c r="D6" s="134"/>
      <c r="E6" s="127"/>
      <c r="F6" s="127">
        <v>0.66666666666666696</v>
      </c>
      <c r="G6" s="127">
        <v>0.27777777777777801</v>
      </c>
      <c r="H6" s="127">
        <v>0.29411764705882398</v>
      </c>
      <c r="I6" s="125">
        <v>0.78</v>
      </c>
      <c r="J6" s="128">
        <v>0.41666666666666702</v>
      </c>
      <c r="K6" s="127">
        <v>0.52500000000000002</v>
      </c>
      <c r="L6" s="130">
        <f t="shared" si="0"/>
        <v>2.960228758169936</v>
      </c>
      <c r="M6" s="150" t="s">
        <v>103</v>
      </c>
    </row>
    <row r="7" spans="1:58" s="68" customFormat="1" ht="15.75" customHeight="1" x14ac:dyDescent="0.25">
      <c r="A7" s="79" t="s">
        <v>285</v>
      </c>
      <c r="B7" s="73">
        <v>171</v>
      </c>
      <c r="C7" s="152">
        <v>11</v>
      </c>
      <c r="D7" s="134">
        <v>0</v>
      </c>
      <c r="E7" s="127">
        <v>0.04</v>
      </c>
      <c r="F7" s="125">
        <v>0.79166666666666696</v>
      </c>
      <c r="G7" s="127">
        <v>0.16666666666666699</v>
      </c>
      <c r="H7" s="127">
        <v>0.29411764705882398</v>
      </c>
      <c r="I7" s="127">
        <v>0.73333333333333295</v>
      </c>
      <c r="J7" s="128">
        <v>0.14333333333333301</v>
      </c>
      <c r="K7" s="127">
        <v>0.25</v>
      </c>
      <c r="L7" s="130">
        <f t="shared" si="0"/>
        <v>2.4191176470588238</v>
      </c>
      <c r="M7" s="150" t="s">
        <v>103</v>
      </c>
      <c r="N7" s="10"/>
      <c r="O7" s="134">
        <v>13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ht="15.75" customHeight="1" x14ac:dyDescent="0.25">
      <c r="A8" s="76" t="s">
        <v>306</v>
      </c>
      <c r="B8" s="73">
        <v>91</v>
      </c>
      <c r="C8" s="75">
        <v>11</v>
      </c>
      <c r="D8" s="134">
        <v>0</v>
      </c>
      <c r="E8" s="127">
        <v>0.4</v>
      </c>
      <c r="F8" s="125">
        <v>0.83333333333333304</v>
      </c>
      <c r="G8" s="127">
        <v>8.3333333333333301E-2</v>
      </c>
      <c r="H8" s="127">
        <v>0.29411764705882398</v>
      </c>
      <c r="I8" s="127">
        <v>0.32333333333333297</v>
      </c>
      <c r="J8" s="128">
        <v>0.25</v>
      </c>
      <c r="K8" s="127">
        <v>0.15</v>
      </c>
      <c r="L8" s="130">
        <f t="shared" si="0"/>
        <v>2.334117647058823</v>
      </c>
      <c r="M8" s="153" t="s">
        <v>159</v>
      </c>
      <c r="N8" s="151" t="s">
        <v>307</v>
      </c>
      <c r="O8" s="134">
        <v>2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</row>
    <row r="9" spans="1:58" s="68" customFormat="1" ht="15.75" customHeight="1" x14ac:dyDescent="0.25">
      <c r="A9" s="84" t="s">
        <v>289</v>
      </c>
      <c r="B9" s="73">
        <v>208</v>
      </c>
      <c r="C9" s="75">
        <v>10</v>
      </c>
      <c r="D9" s="134">
        <v>0</v>
      </c>
      <c r="E9" s="127">
        <v>0.255</v>
      </c>
      <c r="F9" s="127">
        <v>0.54166666666666696</v>
      </c>
      <c r="G9" s="127">
        <v>0.52777777777777801</v>
      </c>
      <c r="H9" s="127">
        <v>0.14705882352941199</v>
      </c>
      <c r="I9" s="127">
        <v>0.35</v>
      </c>
      <c r="J9" s="127">
        <v>0.46</v>
      </c>
      <c r="K9" s="127">
        <v>0.02</v>
      </c>
      <c r="L9" s="130">
        <f t="shared" si="0"/>
        <v>2.3015032679738567</v>
      </c>
      <c r="M9" s="150" t="s">
        <v>103</v>
      </c>
      <c r="N9" s="151" t="s">
        <v>308</v>
      </c>
      <c r="O9" s="134">
        <v>16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ht="15.75" customHeight="1" x14ac:dyDescent="0.25">
      <c r="A10" s="79" t="s">
        <v>257</v>
      </c>
      <c r="B10" s="73">
        <v>171</v>
      </c>
      <c r="C10" s="152">
        <v>11</v>
      </c>
      <c r="D10" s="127">
        <v>0.230769230769231</v>
      </c>
      <c r="E10" s="127">
        <v>0.13</v>
      </c>
      <c r="F10" s="134">
        <v>0</v>
      </c>
      <c r="G10" s="134">
        <v>0</v>
      </c>
      <c r="H10" s="127">
        <v>0.14705882352941199</v>
      </c>
      <c r="I10" s="127">
        <v>8.3333333333333301E-2</v>
      </c>
      <c r="J10" s="128">
        <v>0.37333333333333302</v>
      </c>
      <c r="K10" s="127">
        <v>0.48</v>
      </c>
      <c r="L10" s="130">
        <f t="shared" si="0"/>
        <v>1.4444947209653092</v>
      </c>
      <c r="M10" s="153" t="s">
        <v>159</v>
      </c>
      <c r="O10" s="134">
        <v>14</v>
      </c>
    </row>
    <row r="11" spans="1:58" ht="15.75" customHeight="1" x14ac:dyDescent="0.25">
      <c r="A11" s="79" t="s">
        <v>309</v>
      </c>
      <c r="B11" s="73">
        <v>171</v>
      </c>
      <c r="C11" s="152">
        <v>11</v>
      </c>
      <c r="D11" s="127">
        <v>0.15384615384615399</v>
      </c>
      <c r="E11" s="127">
        <v>0.15</v>
      </c>
      <c r="F11" s="127">
        <v>0.33333333333333298</v>
      </c>
      <c r="G11" s="127">
        <v>2.7777777777777801E-2</v>
      </c>
      <c r="H11" s="134">
        <v>0</v>
      </c>
      <c r="I11" s="127">
        <v>5.6666666666666698E-2</v>
      </c>
      <c r="J11" s="128">
        <v>0.25</v>
      </c>
      <c r="K11" s="127">
        <v>0.16500000000000001</v>
      </c>
      <c r="L11" s="130">
        <f t="shared" si="0"/>
        <v>1.1366239316239315</v>
      </c>
      <c r="M11" s="132"/>
      <c r="O11" s="134">
        <v>17</v>
      </c>
    </row>
    <row r="12" spans="1:58" s="68" customFormat="1" ht="15.75" customHeight="1" x14ac:dyDescent="0.25">
      <c r="A12" s="79" t="s">
        <v>310</v>
      </c>
      <c r="B12" s="73">
        <v>79</v>
      </c>
      <c r="C12" s="152">
        <v>10</v>
      </c>
      <c r="D12" s="134">
        <v>0</v>
      </c>
      <c r="E12" s="127">
        <v>0.27500000000000002</v>
      </c>
      <c r="F12" s="127">
        <v>0.33333333333333298</v>
      </c>
      <c r="G12" s="127">
        <v>5.5555555555555601E-2</v>
      </c>
      <c r="H12" s="134">
        <v>0</v>
      </c>
      <c r="I12" s="127">
        <v>0.24</v>
      </c>
      <c r="J12" s="127">
        <v>4.33333333333333E-2</v>
      </c>
      <c r="K12" s="127">
        <v>0.02</v>
      </c>
      <c r="L12" s="130">
        <f t="shared" si="0"/>
        <v>0.96722222222222187</v>
      </c>
      <c r="M12" s="150" t="s">
        <v>103</v>
      </c>
      <c r="N12" s="151" t="s">
        <v>311</v>
      </c>
      <c r="O12" s="134">
        <v>12</v>
      </c>
    </row>
    <row r="13" spans="1:58" ht="15.75" customHeight="1" x14ac:dyDescent="0.25">
      <c r="A13" s="79" t="s">
        <v>312</v>
      </c>
      <c r="B13" s="73">
        <v>171</v>
      </c>
      <c r="C13" s="152">
        <v>11</v>
      </c>
      <c r="D13" s="134">
        <v>0</v>
      </c>
      <c r="E13" s="127">
        <v>3.5000000000000003E-2</v>
      </c>
      <c r="F13" s="127">
        <v>0.41666666666666702</v>
      </c>
      <c r="G13" s="134">
        <v>0</v>
      </c>
      <c r="H13" s="134">
        <v>0</v>
      </c>
      <c r="I13" s="127">
        <v>0.15333333333333299</v>
      </c>
      <c r="J13" s="134">
        <v>0</v>
      </c>
      <c r="K13" s="127">
        <v>0.2</v>
      </c>
      <c r="L13" s="130">
        <f t="shared" si="0"/>
        <v>0.80499999999999994</v>
      </c>
      <c r="M13" s="132"/>
      <c r="O13" s="134">
        <v>10</v>
      </c>
    </row>
    <row r="14" spans="1:58" ht="15.75" customHeight="1" x14ac:dyDescent="0.25">
      <c r="A14" s="84" t="s">
        <v>313</v>
      </c>
      <c r="B14" s="73">
        <v>171</v>
      </c>
      <c r="C14" s="75">
        <v>11</v>
      </c>
      <c r="D14" s="134">
        <v>0</v>
      </c>
      <c r="E14" s="134">
        <v>0</v>
      </c>
      <c r="F14" s="127">
        <v>0.33333333333333298</v>
      </c>
      <c r="G14" s="134">
        <v>0</v>
      </c>
      <c r="H14" s="134">
        <v>0</v>
      </c>
      <c r="I14" s="127">
        <v>0.01</v>
      </c>
      <c r="J14" s="127">
        <v>0.336666666666667</v>
      </c>
      <c r="K14" s="127">
        <v>0.02</v>
      </c>
      <c r="L14" s="130">
        <f t="shared" si="0"/>
        <v>0.7</v>
      </c>
      <c r="M14" s="132"/>
      <c r="O14" s="134">
        <v>18</v>
      </c>
    </row>
    <row r="15" spans="1:58" s="82" customFormat="1" ht="15.75" customHeight="1" x14ac:dyDescent="0.25">
      <c r="A15" s="84" t="s">
        <v>314</v>
      </c>
      <c r="B15" s="73">
        <v>171</v>
      </c>
      <c r="C15" s="75">
        <v>9</v>
      </c>
      <c r="D15" s="134">
        <v>0</v>
      </c>
      <c r="E15" s="134">
        <v>0</v>
      </c>
      <c r="F15" s="127">
        <v>0.54166666666666696</v>
      </c>
      <c r="G15" s="127">
        <v>2.7777777777777801E-2</v>
      </c>
      <c r="H15" s="134">
        <v>0</v>
      </c>
      <c r="I15" s="134">
        <v>0</v>
      </c>
      <c r="J15" s="128">
        <v>6.6666666666666697E-3</v>
      </c>
      <c r="K15" s="134">
        <v>0</v>
      </c>
      <c r="L15" s="130">
        <f t="shared" si="0"/>
        <v>0.57611111111111146</v>
      </c>
      <c r="M15" s="150" t="s">
        <v>103</v>
      </c>
      <c r="N15" s="10"/>
      <c r="O15" s="134">
        <v>11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</row>
    <row r="16" spans="1:58" ht="15.75" customHeight="1" x14ac:dyDescent="0.25">
      <c r="A16" s="84" t="s">
        <v>315</v>
      </c>
      <c r="B16" s="73">
        <v>171</v>
      </c>
      <c r="C16" s="75">
        <v>9</v>
      </c>
      <c r="D16" s="127">
        <v>0.15384615384615399</v>
      </c>
      <c r="E16" s="134">
        <v>0</v>
      </c>
      <c r="F16" s="127">
        <v>0.20833333333333301</v>
      </c>
      <c r="G16" s="134">
        <v>0</v>
      </c>
      <c r="H16" s="134">
        <v>0</v>
      </c>
      <c r="I16" s="127">
        <v>0.116666666666667</v>
      </c>
      <c r="J16" s="127">
        <v>0.05</v>
      </c>
      <c r="K16" s="134">
        <v>0</v>
      </c>
      <c r="L16" s="130">
        <f t="shared" si="0"/>
        <v>0.52884615384615408</v>
      </c>
      <c r="M16" s="72"/>
      <c r="O16" s="134">
        <v>15</v>
      </c>
    </row>
    <row r="17" spans="1:58" ht="15.75" customHeight="1" x14ac:dyDescent="0.25">
      <c r="A17" s="154" t="s">
        <v>316</v>
      </c>
      <c r="B17" s="155">
        <v>132</v>
      </c>
      <c r="C17" s="156">
        <v>9</v>
      </c>
      <c r="D17" s="134">
        <v>0</v>
      </c>
      <c r="E17" s="127">
        <v>0.255</v>
      </c>
      <c r="F17" s="127">
        <v>4.1666666666666699E-2</v>
      </c>
      <c r="G17" s="134">
        <v>0</v>
      </c>
      <c r="H17" s="134">
        <v>0</v>
      </c>
      <c r="I17" s="127">
        <v>0.16666666666666699</v>
      </c>
      <c r="J17" s="127">
        <v>1.3333333333333299E-2</v>
      </c>
      <c r="K17" s="134">
        <v>0</v>
      </c>
      <c r="L17" s="130">
        <f t="shared" si="0"/>
        <v>0.47666666666666702</v>
      </c>
      <c r="M17" s="72"/>
      <c r="N17" s="151" t="s">
        <v>317</v>
      </c>
      <c r="O17" s="134">
        <v>8</v>
      </c>
    </row>
    <row r="18" spans="1:58" ht="15.75" customHeight="1" x14ac:dyDescent="0.25">
      <c r="A18" s="79" t="s">
        <v>318</v>
      </c>
      <c r="B18" s="73">
        <v>208</v>
      </c>
      <c r="C18" s="75">
        <v>9</v>
      </c>
      <c r="D18" s="134">
        <v>0</v>
      </c>
      <c r="E18" s="134">
        <v>0</v>
      </c>
      <c r="F18" s="127">
        <v>0.125</v>
      </c>
      <c r="G18" s="134">
        <v>0</v>
      </c>
      <c r="H18" s="134">
        <v>0</v>
      </c>
      <c r="I18" s="127">
        <v>0.25</v>
      </c>
      <c r="J18" s="128">
        <v>6.6666666666666693E-2</v>
      </c>
      <c r="K18" s="134">
        <v>0</v>
      </c>
      <c r="L18" s="130">
        <f t="shared" si="0"/>
        <v>0.44166666666666671</v>
      </c>
      <c r="M18" s="72"/>
      <c r="N18" s="151" t="s">
        <v>319</v>
      </c>
      <c r="O18" s="134">
        <v>4</v>
      </c>
    </row>
    <row r="19" spans="1:58" ht="15.75" customHeight="1" x14ac:dyDescent="0.25">
      <c r="A19" s="79" t="s">
        <v>291</v>
      </c>
      <c r="B19" s="73">
        <v>171</v>
      </c>
      <c r="C19" s="152">
        <v>9</v>
      </c>
      <c r="D19" s="134">
        <v>0</v>
      </c>
      <c r="E19" s="127">
        <v>0.32500000000000001</v>
      </c>
      <c r="F19" s="127">
        <v>8.3333333333333301E-2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0">
        <f t="shared" si="0"/>
        <v>0.40833333333333333</v>
      </c>
      <c r="M19" s="72"/>
      <c r="O19" s="134">
        <v>7</v>
      </c>
    </row>
    <row r="20" spans="1:58" ht="15.75" customHeight="1" x14ac:dyDescent="0.25">
      <c r="A20" s="84" t="s">
        <v>320</v>
      </c>
      <c r="B20" s="73" t="s">
        <v>141</v>
      </c>
      <c r="C20" s="75">
        <v>11</v>
      </c>
      <c r="D20" s="134">
        <v>0</v>
      </c>
      <c r="E20" s="127">
        <v>0.4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0">
        <f t="shared" si="0"/>
        <v>0.4</v>
      </c>
      <c r="M20" s="132"/>
      <c r="N20" s="141" t="s">
        <v>321</v>
      </c>
      <c r="O20" s="134">
        <v>6</v>
      </c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</row>
    <row r="21" spans="1:58" ht="15.75" customHeight="1" x14ac:dyDescent="0.25">
      <c r="A21" s="84" t="s">
        <v>322</v>
      </c>
      <c r="B21" s="73">
        <v>171</v>
      </c>
      <c r="C21" s="75">
        <v>9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0">
        <f t="shared" si="0"/>
        <v>0</v>
      </c>
      <c r="M21" s="72"/>
      <c r="O21" s="134">
        <v>19</v>
      </c>
    </row>
    <row r="22" spans="1:58" ht="15.75" customHeight="1" x14ac:dyDescent="0.25">
      <c r="A22" s="84" t="s">
        <v>292</v>
      </c>
      <c r="B22" s="73">
        <v>171</v>
      </c>
      <c r="C22" s="75">
        <v>11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0">
        <f t="shared" si="0"/>
        <v>0</v>
      </c>
      <c r="M22" s="132"/>
      <c r="O22" s="134">
        <v>1</v>
      </c>
    </row>
    <row r="23" spans="1:58" x14ac:dyDescent="0.25">
      <c r="A23" s="118" t="s">
        <v>323</v>
      </c>
      <c r="M23" s="68"/>
    </row>
    <row r="24" spans="1:58" x14ac:dyDescent="0.25">
      <c r="A24" s="118"/>
      <c r="M24" s="68"/>
    </row>
    <row r="25" spans="1:58" x14ac:dyDescent="0.25">
      <c r="A25" s="118" t="s">
        <v>324</v>
      </c>
      <c r="M25" s="68"/>
    </row>
    <row r="26" spans="1:58" x14ac:dyDescent="0.25">
      <c r="A26" s="118"/>
      <c r="M26" s="68"/>
    </row>
    <row r="27" spans="1:58" x14ac:dyDescent="0.25">
      <c r="A27" s="119" t="s">
        <v>325</v>
      </c>
      <c r="M27" s="68"/>
    </row>
    <row r="28" spans="1:58" x14ac:dyDescent="0.25">
      <c r="G28" s="157" t="s">
        <v>237</v>
      </c>
    </row>
  </sheetData>
  <autoFilter ref="A1:BF23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zoomScaleNormal="100" workbookViewId="0"/>
  </sheetViews>
  <sheetFormatPr defaultColWidth="8.7109375" defaultRowHeight="15.75" x14ac:dyDescent="0.25"/>
  <cols>
    <col min="1" max="1" width="33.42578125" customWidth="1"/>
    <col min="2" max="2" width="4" customWidth="1"/>
    <col min="3" max="3" width="3.85546875" customWidth="1"/>
    <col min="4" max="12" width="5.7109375" style="118" customWidth="1"/>
    <col min="13" max="13" width="8.5703125" customWidth="1"/>
  </cols>
  <sheetData>
    <row r="1" spans="1:13" ht="37.5" x14ac:dyDescent="0.2">
      <c r="A1" s="158" t="s">
        <v>119</v>
      </c>
      <c r="B1" s="159" t="s">
        <v>2</v>
      </c>
      <c r="C1" s="160" t="s">
        <v>1</v>
      </c>
      <c r="D1" s="161" t="s">
        <v>326</v>
      </c>
      <c r="E1" s="161" t="s">
        <v>327</v>
      </c>
      <c r="F1" s="161" t="s">
        <v>328</v>
      </c>
      <c r="G1" s="161" t="s">
        <v>329</v>
      </c>
      <c r="H1" s="161" t="s">
        <v>330</v>
      </c>
      <c r="I1" s="161" t="s">
        <v>331</v>
      </c>
      <c r="J1" s="161" t="s">
        <v>332</v>
      </c>
      <c r="K1" s="161" t="s">
        <v>333</v>
      </c>
      <c r="L1" s="161" t="s">
        <v>3</v>
      </c>
      <c r="M1" s="161" t="s">
        <v>4</v>
      </c>
    </row>
    <row r="2" spans="1:13" x14ac:dyDescent="0.25">
      <c r="A2" s="76" t="s">
        <v>282</v>
      </c>
      <c r="B2" s="73">
        <v>171</v>
      </c>
      <c r="C2" s="152">
        <v>10</v>
      </c>
      <c r="D2" s="162">
        <v>0.53658536585365901</v>
      </c>
      <c r="E2" s="162">
        <v>0.4</v>
      </c>
      <c r="F2" s="163">
        <v>0.83333333333333304</v>
      </c>
      <c r="G2" s="164">
        <v>0</v>
      </c>
      <c r="H2" s="164">
        <v>0</v>
      </c>
      <c r="I2" s="162">
        <v>0.586666666666667</v>
      </c>
      <c r="J2" s="163">
        <v>0.92500000000000004</v>
      </c>
      <c r="K2" s="162">
        <v>0.214285714285714</v>
      </c>
      <c r="L2" s="130">
        <f t="shared" ref="L2:L18" si="0">SUM(D2:K2)-MIN(D2:K2)</f>
        <v>3.4958710801393731</v>
      </c>
      <c r="M2" s="148" t="s">
        <v>103</v>
      </c>
    </row>
    <row r="3" spans="1:13" x14ac:dyDescent="0.25">
      <c r="A3" s="72" t="s">
        <v>289</v>
      </c>
      <c r="B3" s="73">
        <v>208</v>
      </c>
      <c r="C3" s="75">
        <v>11</v>
      </c>
      <c r="D3" s="162">
        <v>0.51219512195121997</v>
      </c>
      <c r="E3" s="162">
        <v>0.04</v>
      </c>
      <c r="F3" s="163">
        <v>0.83333333333333304</v>
      </c>
      <c r="G3" s="162">
        <v>0.45882352941176502</v>
      </c>
      <c r="H3" s="162">
        <v>0.42666666666666703</v>
      </c>
      <c r="I3" s="162">
        <v>0.60333333333333306</v>
      </c>
      <c r="J3" s="162">
        <v>0.43</v>
      </c>
      <c r="K3" s="162">
        <v>0.214285714285714</v>
      </c>
      <c r="L3" s="130">
        <f t="shared" si="0"/>
        <v>3.4786376989820322</v>
      </c>
      <c r="M3" s="148" t="s">
        <v>103</v>
      </c>
    </row>
    <row r="4" spans="1:13" ht="16.5" x14ac:dyDescent="0.3">
      <c r="A4" s="165" t="s">
        <v>334</v>
      </c>
      <c r="B4" s="73" t="s">
        <v>146</v>
      </c>
      <c r="C4" s="75">
        <v>10</v>
      </c>
      <c r="D4" s="162">
        <v>0.24390243902438999</v>
      </c>
      <c r="E4" s="162">
        <v>0.4</v>
      </c>
      <c r="F4" s="162">
        <v>0.45833333333333298</v>
      </c>
      <c r="G4" s="162">
        <v>0.314705882352941</v>
      </c>
      <c r="H4" s="162">
        <v>0.55000000000000004</v>
      </c>
      <c r="I4" s="163">
        <v>0.85666666666666702</v>
      </c>
      <c r="J4" s="162">
        <v>0.25</v>
      </c>
      <c r="K4" s="162">
        <v>0.214285714285714</v>
      </c>
      <c r="L4" s="130">
        <f t="shared" si="0"/>
        <v>3.0736083213773311</v>
      </c>
      <c r="M4" s="148" t="s">
        <v>103</v>
      </c>
    </row>
    <row r="5" spans="1:13" x14ac:dyDescent="0.25">
      <c r="A5" s="72" t="s">
        <v>335</v>
      </c>
      <c r="B5" s="73" t="s">
        <v>137</v>
      </c>
      <c r="C5" s="75">
        <v>8</v>
      </c>
      <c r="D5" s="162">
        <v>0.53658536585365901</v>
      </c>
      <c r="E5" s="162">
        <v>0.12</v>
      </c>
      <c r="F5" s="162">
        <v>0.66666666666666696</v>
      </c>
      <c r="G5" s="162">
        <v>0.14705882352941199</v>
      </c>
      <c r="H5" s="162">
        <v>0.43</v>
      </c>
      <c r="I5" s="164">
        <v>0</v>
      </c>
      <c r="J5" s="162">
        <v>8.5000000000000006E-2</v>
      </c>
      <c r="K5" s="162">
        <v>0.28571428571428598</v>
      </c>
      <c r="L5" s="130">
        <f t="shared" si="0"/>
        <v>2.2710251417640239</v>
      </c>
      <c r="M5" s="148" t="s">
        <v>103</v>
      </c>
    </row>
    <row r="6" spans="1:13" x14ac:dyDescent="0.25">
      <c r="A6" s="76" t="s">
        <v>293</v>
      </c>
      <c r="B6" s="79">
        <v>178</v>
      </c>
      <c r="C6" s="152">
        <v>10</v>
      </c>
      <c r="D6" s="162">
        <v>0.24390243902438999</v>
      </c>
      <c r="E6" s="164">
        <v>0</v>
      </c>
      <c r="F6" s="162">
        <v>0.5</v>
      </c>
      <c r="G6" s="164">
        <v>0</v>
      </c>
      <c r="H6" s="162">
        <v>0.49666666666666698</v>
      </c>
      <c r="I6" s="162">
        <v>0.49666666666666698</v>
      </c>
      <c r="J6" s="162">
        <v>0.16</v>
      </c>
      <c r="K6" s="162">
        <v>0.17857142857142899</v>
      </c>
      <c r="L6" s="130">
        <f t="shared" si="0"/>
        <v>2.0758072009291531</v>
      </c>
      <c r="M6" s="148" t="s">
        <v>103</v>
      </c>
    </row>
    <row r="7" spans="1:13" x14ac:dyDescent="0.25">
      <c r="A7" s="76" t="s">
        <v>336</v>
      </c>
      <c r="B7" s="73">
        <v>145</v>
      </c>
      <c r="C7" s="152">
        <v>9</v>
      </c>
      <c r="D7" s="162">
        <v>0.24390243902438999</v>
      </c>
      <c r="E7" s="162">
        <v>0.02</v>
      </c>
      <c r="F7" s="162">
        <v>0.125</v>
      </c>
      <c r="G7" s="162">
        <v>0.29411764705882398</v>
      </c>
      <c r="H7" s="162">
        <v>0.37</v>
      </c>
      <c r="I7" s="162">
        <v>0.35666666666666702</v>
      </c>
      <c r="J7" s="162">
        <v>0.32500000000000001</v>
      </c>
      <c r="K7" s="162">
        <v>0.214285714285714</v>
      </c>
      <c r="L7" s="130">
        <f t="shared" si="0"/>
        <v>1.9289724670355948</v>
      </c>
      <c r="M7" s="148" t="s">
        <v>159</v>
      </c>
    </row>
    <row r="8" spans="1:13" ht="17.25" customHeight="1" x14ac:dyDescent="0.25">
      <c r="A8" s="76" t="s">
        <v>337</v>
      </c>
      <c r="B8" s="73">
        <v>171</v>
      </c>
      <c r="C8" s="152">
        <v>9</v>
      </c>
      <c r="D8" s="162">
        <v>0.31707317073170699</v>
      </c>
      <c r="E8" s="162">
        <v>0.22</v>
      </c>
      <c r="F8" s="162">
        <v>0.5</v>
      </c>
      <c r="G8" s="162">
        <v>2.94117647058823E-2</v>
      </c>
      <c r="H8" s="162">
        <v>0.21</v>
      </c>
      <c r="I8" s="162">
        <v>0.36666666666666697</v>
      </c>
      <c r="J8" s="162">
        <v>0.06</v>
      </c>
      <c r="K8" s="162">
        <v>0.214285714285714</v>
      </c>
      <c r="L8" s="130">
        <f t="shared" si="0"/>
        <v>1.8880255516840878</v>
      </c>
      <c r="M8" s="148" t="s">
        <v>159</v>
      </c>
    </row>
    <row r="9" spans="1:13" x14ac:dyDescent="0.25">
      <c r="A9" s="76" t="s">
        <v>338</v>
      </c>
      <c r="B9" s="73">
        <v>38</v>
      </c>
      <c r="C9" s="75">
        <v>10</v>
      </c>
      <c r="D9" s="162">
        <v>0.45121951219512202</v>
      </c>
      <c r="E9" s="164">
        <v>0</v>
      </c>
      <c r="F9" s="162">
        <v>0.54166666666666696</v>
      </c>
      <c r="G9" s="162">
        <v>2.94117647058823E-2</v>
      </c>
      <c r="H9" s="164">
        <v>0</v>
      </c>
      <c r="I9" s="162">
        <v>0.38333333333333303</v>
      </c>
      <c r="J9" s="162">
        <v>0.02</v>
      </c>
      <c r="K9" s="162">
        <v>7.1428571428571397E-2</v>
      </c>
      <c r="L9" s="130">
        <f t="shared" si="0"/>
        <v>1.4970598483295758</v>
      </c>
      <c r="M9" s="166"/>
    </row>
    <row r="10" spans="1:13" x14ac:dyDescent="0.25">
      <c r="A10" s="154" t="s">
        <v>339</v>
      </c>
      <c r="B10" s="155" t="s">
        <v>6</v>
      </c>
      <c r="C10" s="167">
        <v>9</v>
      </c>
      <c r="D10" s="162">
        <v>0.292682926829268</v>
      </c>
      <c r="E10" s="164">
        <v>0</v>
      </c>
      <c r="F10" s="162">
        <v>0.45833333333333298</v>
      </c>
      <c r="G10" s="162">
        <v>0.11764705882352899</v>
      </c>
      <c r="H10" s="162">
        <v>0.40666666666666701</v>
      </c>
      <c r="I10" s="164">
        <v>0</v>
      </c>
      <c r="J10" s="162">
        <v>0.14000000000000001</v>
      </c>
      <c r="K10" s="164">
        <v>0</v>
      </c>
      <c r="L10" s="130">
        <f t="shared" si="0"/>
        <v>1.415329985652797</v>
      </c>
      <c r="M10" s="166"/>
    </row>
    <row r="11" spans="1:13" x14ac:dyDescent="0.25">
      <c r="A11" s="72" t="s">
        <v>340</v>
      </c>
      <c r="B11" s="73">
        <v>208</v>
      </c>
      <c r="C11" s="75">
        <v>10</v>
      </c>
      <c r="D11" s="164">
        <v>0</v>
      </c>
      <c r="E11" s="164">
        <v>0</v>
      </c>
      <c r="F11" s="162">
        <v>0.58333333333333304</v>
      </c>
      <c r="G11" s="162">
        <v>0.14705882352941199</v>
      </c>
      <c r="H11" s="162">
        <v>4.33333333333333E-2</v>
      </c>
      <c r="I11" s="162">
        <v>0.43333333333333302</v>
      </c>
      <c r="J11" s="164">
        <v>0</v>
      </c>
      <c r="K11" s="162">
        <v>0.17857142857142899</v>
      </c>
      <c r="L11" s="130">
        <f t="shared" si="0"/>
        <v>1.3856302521008403</v>
      </c>
      <c r="M11" s="166"/>
    </row>
    <row r="12" spans="1:13" x14ac:dyDescent="0.25">
      <c r="A12" s="72" t="s">
        <v>341</v>
      </c>
      <c r="B12" s="73">
        <v>145</v>
      </c>
      <c r="C12" s="75">
        <v>11</v>
      </c>
      <c r="D12" s="162">
        <v>0.24390243902438999</v>
      </c>
      <c r="E12" s="164">
        <v>0</v>
      </c>
      <c r="F12" s="164">
        <v>0</v>
      </c>
      <c r="G12" s="162">
        <v>0.14705882352941199</v>
      </c>
      <c r="H12" s="162">
        <v>6.6666666666666693E-2</v>
      </c>
      <c r="I12" s="162">
        <v>0.33333333333333298</v>
      </c>
      <c r="J12" s="164">
        <v>0</v>
      </c>
      <c r="K12" s="162">
        <v>0.214285714285714</v>
      </c>
      <c r="L12" s="130">
        <f t="shared" si="0"/>
        <v>1.0052469768395156</v>
      </c>
      <c r="M12" s="166"/>
    </row>
    <row r="13" spans="1:13" x14ac:dyDescent="0.25">
      <c r="A13" s="76" t="s">
        <v>342</v>
      </c>
      <c r="B13" s="73">
        <v>171</v>
      </c>
      <c r="C13" s="152">
        <v>9</v>
      </c>
      <c r="D13" s="162">
        <v>0.146341463414634</v>
      </c>
      <c r="E13" s="164">
        <v>0</v>
      </c>
      <c r="F13" s="162">
        <v>0.33333333333333298</v>
      </c>
      <c r="G13" s="164">
        <v>0</v>
      </c>
      <c r="H13" s="162">
        <v>0.24333333333333301</v>
      </c>
      <c r="I13" s="164">
        <v>0</v>
      </c>
      <c r="J13" s="162">
        <v>0.04</v>
      </c>
      <c r="K13" s="162">
        <v>0.214285714285714</v>
      </c>
      <c r="L13" s="130">
        <f t="shared" si="0"/>
        <v>0.97729384436701405</v>
      </c>
      <c r="M13" s="166"/>
    </row>
    <row r="14" spans="1:13" x14ac:dyDescent="0.25">
      <c r="A14" s="76" t="s">
        <v>343</v>
      </c>
      <c r="B14" s="73">
        <v>171</v>
      </c>
      <c r="C14" s="152">
        <v>10</v>
      </c>
      <c r="D14" s="162">
        <v>0.12195121951219499</v>
      </c>
      <c r="E14" s="162">
        <v>0.15</v>
      </c>
      <c r="F14" s="162">
        <v>0.16666666666666699</v>
      </c>
      <c r="G14" s="162">
        <v>0.11764705882352899</v>
      </c>
      <c r="H14" s="162">
        <v>0.06</v>
      </c>
      <c r="I14" s="164">
        <v>0</v>
      </c>
      <c r="J14" s="164">
        <v>0</v>
      </c>
      <c r="K14" s="162">
        <v>0.14285714285714299</v>
      </c>
      <c r="L14" s="130">
        <f t="shared" si="0"/>
        <v>0.75912208785953394</v>
      </c>
      <c r="M14" s="166"/>
    </row>
    <row r="15" spans="1:13" x14ac:dyDescent="0.25">
      <c r="A15" s="72" t="s">
        <v>344</v>
      </c>
      <c r="B15" s="73">
        <v>171</v>
      </c>
      <c r="C15" s="75">
        <v>9</v>
      </c>
      <c r="D15" s="164">
        <v>0</v>
      </c>
      <c r="E15" s="164">
        <v>0</v>
      </c>
      <c r="F15" s="162">
        <v>4.1666666666666699E-2</v>
      </c>
      <c r="G15" s="164">
        <v>0</v>
      </c>
      <c r="H15" s="162">
        <v>0.116666666666667</v>
      </c>
      <c r="I15" s="162">
        <v>8.3333333333333301E-2</v>
      </c>
      <c r="J15" s="164">
        <v>0</v>
      </c>
      <c r="K15" s="164">
        <v>0</v>
      </c>
      <c r="L15" s="130">
        <f t="shared" si="0"/>
        <v>0.24166666666666703</v>
      </c>
      <c r="M15" s="166"/>
    </row>
    <row r="16" spans="1:13" x14ac:dyDescent="0.25">
      <c r="A16" s="72" t="s">
        <v>345</v>
      </c>
      <c r="B16" s="73">
        <v>171</v>
      </c>
      <c r="C16" s="75">
        <v>9</v>
      </c>
      <c r="D16" s="164">
        <v>0</v>
      </c>
      <c r="E16" s="164">
        <v>0</v>
      </c>
      <c r="F16" s="162">
        <v>4.1666666666666699E-2</v>
      </c>
      <c r="G16" s="164">
        <v>0</v>
      </c>
      <c r="H16" s="162">
        <v>0.08</v>
      </c>
      <c r="I16" s="164">
        <v>0</v>
      </c>
      <c r="J16" s="164">
        <v>0</v>
      </c>
      <c r="K16" s="164">
        <v>0</v>
      </c>
      <c r="L16" s="130">
        <f t="shared" si="0"/>
        <v>0.1216666666666667</v>
      </c>
      <c r="M16" s="166"/>
    </row>
    <row r="17" spans="1:13" x14ac:dyDescent="0.25">
      <c r="A17" s="76" t="s">
        <v>291</v>
      </c>
      <c r="B17" s="73">
        <v>171</v>
      </c>
      <c r="C17" s="152">
        <v>10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30">
        <f t="shared" si="0"/>
        <v>0</v>
      </c>
      <c r="M17" s="166"/>
    </row>
    <row r="18" spans="1:13" x14ac:dyDescent="0.25">
      <c r="A18" s="76" t="s">
        <v>346</v>
      </c>
      <c r="B18" s="79" t="s">
        <v>141</v>
      </c>
      <c r="C18" s="152">
        <v>10</v>
      </c>
      <c r="D18" s="164">
        <v>0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30">
        <f t="shared" si="0"/>
        <v>0</v>
      </c>
      <c r="M18" s="166"/>
    </row>
    <row r="20" spans="1:13" x14ac:dyDescent="0.25">
      <c r="A20" s="118" t="s">
        <v>232</v>
      </c>
      <c r="B20" s="22"/>
      <c r="C20" s="22"/>
      <c r="D20" s="157"/>
      <c r="E20" s="157"/>
      <c r="F20" s="157"/>
      <c r="G20" s="168"/>
      <c r="H20" s="168"/>
      <c r="I20" s="168"/>
      <c r="J20" s="168"/>
      <c r="K20" s="168"/>
      <c r="L20" s="120"/>
      <c r="M20" s="22"/>
    </row>
    <row r="21" spans="1:13" x14ac:dyDescent="0.25">
      <c r="A21" s="118" t="s">
        <v>347</v>
      </c>
      <c r="B21" s="22"/>
      <c r="C21" s="22"/>
      <c r="D21" s="157"/>
      <c r="E21" s="157"/>
      <c r="F21" s="157"/>
      <c r="G21" s="168"/>
      <c r="H21" s="168"/>
      <c r="I21" s="168"/>
      <c r="J21" s="168"/>
      <c r="K21" s="168"/>
      <c r="L21" s="120"/>
      <c r="M21" s="22"/>
    </row>
    <row r="22" spans="1:13" x14ac:dyDescent="0.25">
      <c r="A22" s="118"/>
      <c r="B22" s="22"/>
      <c r="C22" s="22"/>
      <c r="D22" s="157"/>
      <c r="E22" s="157"/>
      <c r="F22" s="157"/>
      <c r="G22" s="168"/>
      <c r="H22" s="168"/>
      <c r="I22" s="168"/>
      <c r="J22" s="168"/>
      <c r="K22" s="168"/>
      <c r="L22" s="120"/>
      <c r="M22" s="22"/>
    </row>
    <row r="23" spans="1:13" x14ac:dyDescent="0.25">
      <c r="A23" s="118" t="s">
        <v>348</v>
      </c>
      <c r="B23" s="22"/>
      <c r="C23" s="22"/>
      <c r="D23" s="157"/>
      <c r="E23" s="157"/>
      <c r="F23" s="157"/>
      <c r="G23" s="168"/>
      <c r="H23" s="168"/>
      <c r="I23" s="168"/>
      <c r="J23" s="168"/>
      <c r="K23" s="168"/>
      <c r="L23" s="120"/>
      <c r="M23" s="22"/>
    </row>
    <row r="24" spans="1:13" x14ac:dyDescent="0.25">
      <c r="A24" s="119" t="s">
        <v>349</v>
      </c>
      <c r="B24" s="22"/>
      <c r="C24" s="22"/>
      <c r="D24" s="157"/>
      <c r="E24" s="157"/>
      <c r="F24" s="157"/>
      <c r="G24" s="168"/>
      <c r="H24" s="168"/>
      <c r="I24" s="168"/>
      <c r="J24" s="168"/>
      <c r="K24" s="168"/>
      <c r="L24" s="120"/>
      <c r="M24" s="120" t="s">
        <v>237</v>
      </c>
    </row>
  </sheetData>
  <autoFilter ref="A1:M24"/>
  <printOptions horizontalCentered="1"/>
  <pageMargins left="0.118055555555556" right="0.118055555555556" top="0.94513888888888897" bottom="0.74791666666666701" header="0.31527777777777799" footer="0.51180555555555496"/>
  <pageSetup paperSize="9" firstPageNumber="0" orientation="portrait" horizontalDpi="300" verticalDpi="300"/>
  <headerFooter>
    <oddHeader>&amp;C&amp;"Arial Narrow,Звичайний"&amp;14Результати відбірково-тренувальних зборів команди міста Києва 
до IV етапу Всеукраїнської учнівської олімпіади з інформатики 2011 року</oddHeader>
  </headerFooter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4"/>
  <sheetViews>
    <sheetView zoomScale="120" zoomScaleNormal="120" workbookViewId="0">
      <selection activeCell="C2" sqref="C2"/>
    </sheetView>
  </sheetViews>
  <sheetFormatPr defaultColWidth="8.7109375" defaultRowHeight="12.75" x14ac:dyDescent="0.2"/>
  <cols>
    <col min="1" max="1" width="37.140625" customWidth="1"/>
    <col min="2" max="3" width="4.42578125" customWidth="1"/>
    <col min="4" max="4" width="3.85546875" customWidth="1"/>
    <col min="5" max="5" width="6.42578125" customWidth="1"/>
    <col min="6" max="6" width="6.5703125" customWidth="1"/>
    <col min="7" max="15" width="5.7109375" customWidth="1"/>
    <col min="16" max="16" width="5.7109375" style="169" customWidth="1"/>
    <col min="17" max="18" width="5.7109375" customWidth="1"/>
  </cols>
  <sheetData>
    <row r="1" spans="1:19" ht="37.5" x14ac:dyDescent="0.2">
      <c r="A1" s="158" t="s">
        <v>119</v>
      </c>
      <c r="B1" s="158" t="s">
        <v>350</v>
      </c>
      <c r="C1" s="159" t="s">
        <v>2</v>
      </c>
      <c r="D1" s="160" t="s">
        <v>1</v>
      </c>
      <c r="E1" s="158" t="s">
        <v>351</v>
      </c>
      <c r="F1" s="158" t="s">
        <v>352</v>
      </c>
      <c r="G1" s="161">
        <v>1</v>
      </c>
      <c r="H1" s="161">
        <v>2</v>
      </c>
      <c r="I1" s="161" t="s">
        <v>353</v>
      </c>
      <c r="J1" s="161" t="s">
        <v>354</v>
      </c>
      <c r="K1" s="161" t="s">
        <v>355</v>
      </c>
      <c r="L1" s="161" t="s">
        <v>356</v>
      </c>
      <c r="M1" s="161" t="s">
        <v>357</v>
      </c>
      <c r="N1" s="161" t="s">
        <v>358</v>
      </c>
      <c r="O1" s="161" t="s">
        <v>359</v>
      </c>
      <c r="P1" s="158" t="s">
        <v>360</v>
      </c>
      <c r="Q1" s="170" t="s">
        <v>190</v>
      </c>
      <c r="R1" s="161" t="s">
        <v>3</v>
      </c>
      <c r="S1" s="161" t="s">
        <v>4</v>
      </c>
    </row>
    <row r="2" spans="1:19" s="178" customFormat="1" ht="18" customHeight="1" x14ac:dyDescent="0.25">
      <c r="A2" s="76" t="s">
        <v>336</v>
      </c>
      <c r="B2" s="171">
        <v>2</v>
      </c>
      <c r="C2" s="73">
        <v>145</v>
      </c>
      <c r="D2" s="152">
        <v>10</v>
      </c>
      <c r="E2" s="172">
        <v>0.28999999999999998</v>
      </c>
      <c r="F2" s="173">
        <v>0.75333333333333297</v>
      </c>
      <c r="G2" s="172">
        <v>0.73333333333333295</v>
      </c>
      <c r="H2" s="173">
        <f>262/300</f>
        <v>0.87333333333333329</v>
      </c>
      <c r="I2" s="174">
        <f>151/200</f>
        <v>0.755</v>
      </c>
      <c r="J2" s="175">
        <f>43/60</f>
        <v>0.71666666666666667</v>
      </c>
      <c r="K2" s="174">
        <v>0.95833333333333304</v>
      </c>
      <c r="L2" s="175">
        <v>0.54901960784313697</v>
      </c>
      <c r="M2" s="176">
        <v>1</v>
      </c>
      <c r="N2" s="176">
        <v>1</v>
      </c>
      <c r="O2" s="174">
        <v>0.755</v>
      </c>
      <c r="P2" s="175">
        <v>0.69</v>
      </c>
      <c r="Q2" s="172">
        <f t="shared" ref="Q2:Q18" si="0">SUM(E2:P2)-MIN(E2:P2)</f>
        <v>8.7840196078431365</v>
      </c>
      <c r="R2" s="172">
        <f>Q2*11/10</f>
        <v>9.6624215686274493</v>
      </c>
      <c r="S2" s="177" t="s">
        <v>103</v>
      </c>
    </row>
    <row r="3" spans="1:19" s="178" customFormat="1" ht="18" customHeight="1" x14ac:dyDescent="0.25">
      <c r="A3" s="76" t="s">
        <v>282</v>
      </c>
      <c r="B3" s="171">
        <v>15</v>
      </c>
      <c r="C3" s="73">
        <v>171</v>
      </c>
      <c r="D3" s="152">
        <v>11</v>
      </c>
      <c r="E3" s="179">
        <v>0.26</v>
      </c>
      <c r="F3" s="179">
        <v>0.71</v>
      </c>
      <c r="G3" s="180">
        <v>0.76666666666666705</v>
      </c>
      <c r="H3" s="173">
        <f>262/300</f>
        <v>0.87333333333333329</v>
      </c>
      <c r="I3" s="176">
        <v>1</v>
      </c>
      <c r="J3" s="172">
        <v>0.58333333333333304</v>
      </c>
      <c r="K3" s="174">
        <v>0.83333333333333304</v>
      </c>
      <c r="L3" s="181">
        <v>0</v>
      </c>
      <c r="M3" s="176">
        <v>1</v>
      </c>
      <c r="N3" s="172">
        <v>0.52500000000000002</v>
      </c>
      <c r="O3" s="174">
        <v>0.82499999999999996</v>
      </c>
      <c r="P3" s="181">
        <v>0</v>
      </c>
      <c r="Q3" s="172">
        <f t="shared" si="0"/>
        <v>7.3766666666666669</v>
      </c>
      <c r="R3" s="172">
        <f>Q3</f>
        <v>7.3766666666666669</v>
      </c>
      <c r="S3" s="177" t="s">
        <v>103</v>
      </c>
    </row>
    <row r="4" spans="1:19" s="178" customFormat="1" ht="18" customHeight="1" x14ac:dyDescent="0.25">
      <c r="A4" s="182" t="s">
        <v>334</v>
      </c>
      <c r="B4" s="183">
        <v>16</v>
      </c>
      <c r="C4" s="184" t="s">
        <v>146</v>
      </c>
      <c r="D4" s="75">
        <v>11</v>
      </c>
      <c r="E4" s="179">
        <f>102/300</f>
        <v>0.34</v>
      </c>
      <c r="F4" s="179">
        <v>0.51333333333333298</v>
      </c>
      <c r="G4" s="179">
        <v>0.49666666666666698</v>
      </c>
      <c r="H4" s="179">
        <v>0.28000000000000003</v>
      </c>
      <c r="I4" s="173">
        <f>153/200</f>
        <v>0.76500000000000001</v>
      </c>
      <c r="J4" s="173">
        <v>0.83333333333333304</v>
      </c>
      <c r="K4" s="173">
        <v>0.83333333333333304</v>
      </c>
      <c r="L4" s="173">
        <v>0.76470588235294101</v>
      </c>
      <c r="M4" s="172">
        <v>0.61666666666666703</v>
      </c>
      <c r="N4" s="172">
        <v>0.2</v>
      </c>
      <c r="O4" s="173">
        <v>0.85</v>
      </c>
      <c r="P4" s="172">
        <v>7.0000000000000007E-2</v>
      </c>
      <c r="Q4" s="172">
        <f t="shared" si="0"/>
        <v>6.4930392156862737</v>
      </c>
      <c r="R4" s="172">
        <f>Q4</f>
        <v>6.4930392156862737</v>
      </c>
      <c r="S4" s="177" t="s">
        <v>103</v>
      </c>
    </row>
    <row r="5" spans="1:19" s="178" customFormat="1" ht="18" customHeight="1" x14ac:dyDescent="0.25">
      <c r="A5" s="76" t="s">
        <v>361</v>
      </c>
      <c r="B5" s="185">
        <v>10</v>
      </c>
      <c r="C5" s="184">
        <v>145</v>
      </c>
      <c r="D5" s="152">
        <v>10</v>
      </c>
      <c r="E5" s="179">
        <v>0.05</v>
      </c>
      <c r="F5" s="179">
        <v>0.62666666666666704</v>
      </c>
      <c r="G5" s="179">
        <v>0.38333333333333303</v>
      </c>
      <c r="H5" s="179">
        <v>0.09</v>
      </c>
      <c r="I5" s="175">
        <f>126/200</f>
        <v>0.63</v>
      </c>
      <c r="J5" s="175">
        <v>0.33333333333333298</v>
      </c>
      <c r="K5" s="175">
        <v>0.375</v>
      </c>
      <c r="L5" s="175">
        <v>0.37254901960784298</v>
      </c>
      <c r="M5" s="175">
        <v>0.66666666666666696</v>
      </c>
      <c r="N5" s="175">
        <v>0.95</v>
      </c>
      <c r="O5" s="174">
        <v>0.77500000000000002</v>
      </c>
      <c r="P5" s="175">
        <v>0.46500000000000002</v>
      </c>
      <c r="Q5" s="172">
        <f t="shared" si="0"/>
        <v>5.6675490196078435</v>
      </c>
      <c r="R5" s="172">
        <f>Q5*11/10</f>
        <v>6.2343039215686273</v>
      </c>
      <c r="S5" s="177" t="s">
        <v>103</v>
      </c>
    </row>
    <row r="6" spans="1:19" s="178" customFormat="1" ht="18" customHeight="1" x14ac:dyDescent="0.25">
      <c r="A6" s="72" t="s">
        <v>340</v>
      </c>
      <c r="B6" s="186">
        <v>7</v>
      </c>
      <c r="C6" s="184">
        <v>208</v>
      </c>
      <c r="D6" s="75">
        <v>11</v>
      </c>
      <c r="E6" s="172">
        <v>1.6666666666666701E-2</v>
      </c>
      <c r="F6" s="173">
        <v>0.78</v>
      </c>
      <c r="G6" s="172">
        <v>0.44333333333333302</v>
      </c>
      <c r="H6" s="172">
        <v>0.13666666666666699</v>
      </c>
      <c r="I6" s="172">
        <f>100/200</f>
        <v>0.5</v>
      </c>
      <c r="J6" s="172">
        <f>6/60</f>
        <v>0.1</v>
      </c>
      <c r="K6" s="175">
        <v>0.66666666666666696</v>
      </c>
      <c r="L6" s="172">
        <v>0.54901960784313697</v>
      </c>
      <c r="M6" s="174">
        <v>0.9</v>
      </c>
      <c r="N6" s="175">
        <f>85/200</f>
        <v>0.42499999999999999</v>
      </c>
      <c r="O6" s="172">
        <v>0.35</v>
      </c>
      <c r="P6" s="172">
        <v>0.52500000000000002</v>
      </c>
      <c r="Q6" s="172">
        <f t="shared" si="0"/>
        <v>5.3756862745098042</v>
      </c>
      <c r="R6" s="172">
        <f>Q6</f>
        <v>5.3756862745098042</v>
      </c>
      <c r="S6" s="177" t="s">
        <v>103</v>
      </c>
    </row>
    <row r="7" spans="1:19" s="178" customFormat="1" ht="18" customHeight="1" x14ac:dyDescent="0.2">
      <c r="A7" s="76" t="s">
        <v>293</v>
      </c>
      <c r="B7" s="187">
        <v>8</v>
      </c>
      <c r="C7" s="188">
        <v>178</v>
      </c>
      <c r="D7" s="152">
        <v>11</v>
      </c>
      <c r="E7" s="172">
        <v>0.24</v>
      </c>
      <c r="F7" s="173">
        <v>0.75666666666666704</v>
      </c>
      <c r="G7" s="172">
        <v>0.44</v>
      </c>
      <c r="H7" s="172">
        <v>0.71666666666666701</v>
      </c>
      <c r="I7" s="175">
        <f>62/200</f>
        <v>0.31</v>
      </c>
      <c r="J7" s="175">
        <f>6/60</f>
        <v>0.1</v>
      </c>
      <c r="K7" s="172">
        <v>0.66666666666666696</v>
      </c>
      <c r="L7" s="175">
        <v>0.47058823529411797</v>
      </c>
      <c r="M7" s="175">
        <v>0.133333333333333</v>
      </c>
      <c r="N7" s="175">
        <v>0.47499999999999998</v>
      </c>
      <c r="O7" s="172">
        <v>0.5</v>
      </c>
      <c r="P7" s="175">
        <v>0.19</v>
      </c>
      <c r="Q7" s="172">
        <f t="shared" si="0"/>
        <v>4.8989215686274523</v>
      </c>
      <c r="R7" s="172">
        <f>Q7</f>
        <v>4.8989215686274523</v>
      </c>
      <c r="S7" s="189" t="s">
        <v>159</v>
      </c>
    </row>
    <row r="8" spans="1:19" s="178" customFormat="1" ht="18" customHeight="1" x14ac:dyDescent="0.25">
      <c r="A8" s="72" t="s">
        <v>362</v>
      </c>
      <c r="B8" s="186">
        <v>3</v>
      </c>
      <c r="C8" s="184">
        <v>171</v>
      </c>
      <c r="D8" s="75">
        <v>10</v>
      </c>
      <c r="E8" s="179">
        <v>0.17</v>
      </c>
      <c r="F8" s="179">
        <v>0.58333333333333304</v>
      </c>
      <c r="G8" s="179">
        <v>0.44666666666666699</v>
      </c>
      <c r="H8" s="179">
        <v>0.55666666666666698</v>
      </c>
      <c r="I8" s="172">
        <f>100/200</f>
        <v>0.5</v>
      </c>
      <c r="J8" s="172">
        <v>0.16666666666666699</v>
      </c>
      <c r="K8" s="175">
        <v>0.41666666666666702</v>
      </c>
      <c r="L8" s="172">
        <v>0.54901960784313697</v>
      </c>
      <c r="M8" s="175">
        <v>0.31666666666666698</v>
      </c>
      <c r="N8" s="175">
        <v>0.25</v>
      </c>
      <c r="O8" s="175">
        <v>0.2</v>
      </c>
      <c r="P8" s="175">
        <v>0</v>
      </c>
      <c r="Q8" s="172">
        <f t="shared" si="0"/>
        <v>4.1556862745098053</v>
      </c>
      <c r="R8" s="172">
        <f>Q8*11/10</f>
        <v>4.5712549019607858</v>
      </c>
      <c r="S8" s="177"/>
    </row>
    <row r="9" spans="1:19" s="178" customFormat="1" ht="18" customHeight="1" x14ac:dyDescent="0.25">
      <c r="A9" s="72" t="s">
        <v>335</v>
      </c>
      <c r="B9" s="186">
        <v>13</v>
      </c>
      <c r="C9" s="184" t="s">
        <v>137</v>
      </c>
      <c r="D9" s="75">
        <v>9</v>
      </c>
      <c r="E9" s="179">
        <v>0</v>
      </c>
      <c r="F9" s="179">
        <v>0.64333333333333298</v>
      </c>
      <c r="G9" s="179">
        <v>0.34</v>
      </c>
      <c r="H9" s="180">
        <v>0.87333333333333296</v>
      </c>
      <c r="I9" s="175">
        <f>5/200</f>
        <v>2.5000000000000001E-2</v>
      </c>
      <c r="J9" s="175">
        <f>6/60</f>
        <v>0.1</v>
      </c>
      <c r="K9" s="174">
        <v>0.75</v>
      </c>
      <c r="L9" s="172">
        <v>0.13725490196078399</v>
      </c>
      <c r="M9" s="172">
        <v>0.28333333333333299</v>
      </c>
      <c r="N9" s="175">
        <v>0.5</v>
      </c>
      <c r="O9" s="181">
        <v>0</v>
      </c>
      <c r="P9" s="181">
        <v>0</v>
      </c>
      <c r="Q9" s="172">
        <f t="shared" si="0"/>
        <v>3.6522549019607826</v>
      </c>
      <c r="R9" s="172">
        <f>Q9*6/5</f>
        <v>4.3827058823529388</v>
      </c>
      <c r="S9" s="177"/>
    </row>
    <row r="10" spans="1:19" s="178" customFormat="1" ht="18" customHeight="1" x14ac:dyDescent="0.25">
      <c r="A10" s="72" t="s">
        <v>345</v>
      </c>
      <c r="B10" s="186">
        <v>9</v>
      </c>
      <c r="C10" s="184">
        <v>171</v>
      </c>
      <c r="D10" s="75">
        <v>10</v>
      </c>
      <c r="E10" s="172">
        <v>8.3333333333333301E-2</v>
      </c>
      <c r="F10" s="172">
        <v>0.52</v>
      </c>
      <c r="G10" s="172">
        <v>0.47</v>
      </c>
      <c r="H10" s="172">
        <v>0.53</v>
      </c>
      <c r="I10" s="181">
        <v>0</v>
      </c>
      <c r="J10" s="181">
        <v>0</v>
      </c>
      <c r="K10" s="174">
        <v>0.79166666666666696</v>
      </c>
      <c r="L10" s="181">
        <v>0.23529411764705899</v>
      </c>
      <c r="M10" s="172">
        <v>0.16666666666666699</v>
      </c>
      <c r="N10" s="175">
        <v>0.5</v>
      </c>
      <c r="O10" s="175">
        <v>0.3</v>
      </c>
      <c r="P10" s="181">
        <v>0</v>
      </c>
      <c r="Q10" s="172">
        <f t="shared" si="0"/>
        <v>3.5969607843137261</v>
      </c>
      <c r="R10" s="172">
        <f>Q10*11/10</f>
        <v>3.9566568627450991</v>
      </c>
      <c r="S10" s="190"/>
    </row>
    <row r="11" spans="1:19" s="178" customFormat="1" ht="18" customHeight="1" x14ac:dyDescent="0.25">
      <c r="A11" s="76" t="s">
        <v>337</v>
      </c>
      <c r="B11" s="185">
        <v>5</v>
      </c>
      <c r="C11" s="184">
        <v>171</v>
      </c>
      <c r="D11" s="152">
        <v>10</v>
      </c>
      <c r="E11" s="179">
        <v>0.05</v>
      </c>
      <c r="F11" s="179">
        <v>0.68333333333333302</v>
      </c>
      <c r="G11" s="179">
        <v>0.223333333333333</v>
      </c>
      <c r="H11" s="179">
        <v>0.14000000000000001</v>
      </c>
      <c r="I11" s="175">
        <f>19/200</f>
        <v>9.5000000000000001E-2</v>
      </c>
      <c r="J11" s="175">
        <v>6.6666666666666693E-2</v>
      </c>
      <c r="K11" s="174">
        <v>0.79166666666666696</v>
      </c>
      <c r="L11" s="175">
        <v>0.23529411764705899</v>
      </c>
      <c r="M11" s="175">
        <v>0.46666666666666701</v>
      </c>
      <c r="N11" s="175">
        <v>0.15</v>
      </c>
      <c r="O11" s="175">
        <v>0.5</v>
      </c>
      <c r="P11" s="175">
        <v>0.14000000000000001</v>
      </c>
      <c r="Q11" s="172">
        <f t="shared" si="0"/>
        <v>3.4919607843137257</v>
      </c>
      <c r="R11" s="172">
        <f>Q11*11/10</f>
        <v>3.8411568627450983</v>
      </c>
      <c r="S11" s="177"/>
    </row>
    <row r="12" spans="1:19" s="178" customFormat="1" ht="18" customHeight="1" x14ac:dyDescent="0.25">
      <c r="A12" s="76" t="s">
        <v>342</v>
      </c>
      <c r="B12" s="185">
        <v>11</v>
      </c>
      <c r="C12" s="184">
        <v>171</v>
      </c>
      <c r="D12" s="152">
        <v>10</v>
      </c>
      <c r="E12" s="191">
        <v>0.05</v>
      </c>
      <c r="F12" s="191">
        <v>0.5</v>
      </c>
      <c r="G12" s="191">
        <v>0.176666666666667</v>
      </c>
      <c r="H12" s="191">
        <v>0.51333333333333298</v>
      </c>
      <c r="I12" s="175">
        <f>96/200</f>
        <v>0.48</v>
      </c>
      <c r="J12" s="172">
        <v>0.33333333333333298</v>
      </c>
      <c r="K12" s="175">
        <v>0.625</v>
      </c>
      <c r="L12" s="175">
        <v>3.9215686274509803E-2</v>
      </c>
      <c r="M12" s="175">
        <v>0.266666666666667</v>
      </c>
      <c r="N12" s="172">
        <v>0.15</v>
      </c>
      <c r="O12" s="181">
        <v>0</v>
      </c>
      <c r="P12" s="172">
        <v>0.2</v>
      </c>
      <c r="Q12" s="172">
        <f t="shared" si="0"/>
        <v>3.3342156862745096</v>
      </c>
      <c r="R12" s="172">
        <f>Q12*11/10</f>
        <v>3.6676372549019605</v>
      </c>
      <c r="S12" s="190"/>
    </row>
    <row r="13" spans="1:19" s="178" customFormat="1" ht="18" customHeight="1" x14ac:dyDescent="0.3">
      <c r="A13" s="192" t="s">
        <v>363</v>
      </c>
      <c r="B13" s="193">
        <v>12</v>
      </c>
      <c r="C13" s="194" t="s">
        <v>6</v>
      </c>
      <c r="D13" s="171">
        <v>10</v>
      </c>
      <c r="E13" s="172">
        <v>0.11333333333333299</v>
      </c>
      <c r="F13" s="172">
        <v>0.413333333333333</v>
      </c>
      <c r="G13" s="172">
        <v>0.44</v>
      </c>
      <c r="H13" s="173">
        <v>0.83333333333333304</v>
      </c>
      <c r="I13" s="172">
        <f>81/200</f>
        <v>0.40500000000000003</v>
      </c>
      <c r="J13" s="175">
        <v>6.6666666666666693E-2</v>
      </c>
      <c r="K13" s="175">
        <v>0.20833333333333301</v>
      </c>
      <c r="L13" s="175">
        <v>0.19607843137254899</v>
      </c>
      <c r="M13" s="175">
        <v>1.6666666666666701E-2</v>
      </c>
      <c r="N13" s="181">
        <v>0</v>
      </c>
      <c r="O13" s="172">
        <v>0.06</v>
      </c>
      <c r="P13" s="175">
        <v>0.25</v>
      </c>
      <c r="Q13" s="172">
        <f t="shared" si="0"/>
        <v>3.0027450980392145</v>
      </c>
      <c r="R13" s="172">
        <f>Q13*11/10</f>
        <v>3.3030196078431358</v>
      </c>
      <c r="S13" s="190"/>
    </row>
    <row r="14" spans="1:19" s="178" customFormat="1" ht="18" customHeight="1" x14ac:dyDescent="0.2">
      <c r="A14" s="195" t="s">
        <v>364</v>
      </c>
      <c r="B14" s="187">
        <v>14</v>
      </c>
      <c r="C14" s="188">
        <v>214</v>
      </c>
      <c r="D14" s="152">
        <v>11</v>
      </c>
      <c r="E14" s="179">
        <v>0.25</v>
      </c>
      <c r="F14" s="179">
        <v>0.45333333333333298</v>
      </c>
      <c r="G14" s="179">
        <v>0.21666666666666701</v>
      </c>
      <c r="H14" s="179">
        <v>0.15</v>
      </c>
      <c r="I14" s="172">
        <v>0.27500000000000002</v>
      </c>
      <c r="J14" s="172">
        <v>3.3333333333333298E-2</v>
      </c>
      <c r="K14" s="172">
        <v>0.54166666666666696</v>
      </c>
      <c r="L14" s="172">
        <v>0.41176470588235298</v>
      </c>
      <c r="M14" s="172">
        <v>0.25</v>
      </c>
      <c r="N14" s="181">
        <v>0</v>
      </c>
      <c r="O14" s="172">
        <v>0.26</v>
      </c>
      <c r="P14" s="172">
        <v>0.215</v>
      </c>
      <c r="Q14" s="172">
        <f t="shared" si="0"/>
        <v>3.0567647058823528</v>
      </c>
      <c r="R14" s="172">
        <f>Q14</f>
        <v>3.0567647058823528</v>
      </c>
      <c r="S14" s="190"/>
    </row>
    <row r="15" spans="1:19" s="178" customFormat="1" ht="18" customHeight="1" x14ac:dyDescent="0.3">
      <c r="A15" s="192" t="s">
        <v>365</v>
      </c>
      <c r="B15" s="193">
        <v>4</v>
      </c>
      <c r="C15" s="194" t="s">
        <v>6</v>
      </c>
      <c r="D15" s="171">
        <v>9</v>
      </c>
      <c r="E15" s="172">
        <v>0.05</v>
      </c>
      <c r="F15" s="172">
        <v>0.38666666666666699</v>
      </c>
      <c r="G15" s="172">
        <v>0.116666666666667</v>
      </c>
      <c r="H15" s="172">
        <v>0.206666666666667</v>
      </c>
      <c r="I15" s="175">
        <f>15/200</f>
        <v>7.4999999999999997E-2</v>
      </c>
      <c r="J15" s="181">
        <v>0</v>
      </c>
      <c r="K15" s="175">
        <v>0.375</v>
      </c>
      <c r="L15" s="175">
        <v>0.23529411764705899</v>
      </c>
      <c r="M15" s="175">
        <v>0.1</v>
      </c>
      <c r="N15" s="175">
        <v>0.17499999999999999</v>
      </c>
      <c r="O15" s="175">
        <v>0.15</v>
      </c>
      <c r="P15" s="175">
        <v>0.2</v>
      </c>
      <c r="Q15" s="172">
        <f t="shared" si="0"/>
        <v>2.0702941176470597</v>
      </c>
      <c r="R15" s="172">
        <f>Q15*6/5</f>
        <v>2.4843529411764718</v>
      </c>
      <c r="S15" s="177" t="s">
        <v>103</v>
      </c>
    </row>
    <row r="16" spans="1:19" s="178" customFormat="1" ht="18" customHeight="1" x14ac:dyDescent="0.25">
      <c r="A16" s="72" t="s">
        <v>366</v>
      </c>
      <c r="B16" s="186">
        <v>6</v>
      </c>
      <c r="C16" s="184">
        <v>145</v>
      </c>
      <c r="D16" s="75">
        <v>11</v>
      </c>
      <c r="E16" s="179">
        <v>0.17333333333333301</v>
      </c>
      <c r="F16" s="179">
        <v>0.72666666666666702</v>
      </c>
      <c r="G16" s="179">
        <v>0.133333333333333</v>
      </c>
      <c r="H16" s="179">
        <v>0.02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1">
        <v>0</v>
      </c>
      <c r="P16" s="181">
        <v>0</v>
      </c>
      <c r="Q16" s="172">
        <f t="shared" si="0"/>
        <v>1.053333333333333</v>
      </c>
      <c r="R16" s="172">
        <f>Q16</f>
        <v>1.053333333333333</v>
      </c>
      <c r="S16" s="190"/>
    </row>
    <row r="17" spans="1:19" s="178" customFormat="1" ht="18" customHeight="1" x14ac:dyDescent="0.25">
      <c r="A17" s="72" t="s">
        <v>367</v>
      </c>
      <c r="B17" s="196">
        <v>0</v>
      </c>
      <c r="C17" s="197">
        <v>208</v>
      </c>
      <c r="D17" s="198">
        <v>11</v>
      </c>
      <c r="E17" s="172">
        <v>0.25</v>
      </c>
      <c r="F17" s="172">
        <v>0.50333333333333297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72">
        <f t="shared" si="0"/>
        <v>0.75333333333333297</v>
      </c>
      <c r="R17" s="172">
        <f>Q17</f>
        <v>0.75333333333333297</v>
      </c>
      <c r="S17" s="190"/>
    </row>
    <row r="18" spans="1:19" s="178" customFormat="1" ht="18" customHeight="1" x14ac:dyDescent="0.25">
      <c r="A18" s="72" t="s">
        <v>368</v>
      </c>
      <c r="B18" s="199">
        <v>1</v>
      </c>
      <c r="C18" s="73">
        <v>171</v>
      </c>
      <c r="D18" s="75">
        <v>9</v>
      </c>
      <c r="E18" s="172">
        <v>0.02</v>
      </c>
      <c r="F18" s="172">
        <v>0.38333333333333303</v>
      </c>
      <c r="G18" s="172">
        <v>0.19</v>
      </c>
      <c r="H18" s="172">
        <v>0.03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72">
        <f t="shared" si="0"/>
        <v>0.62333333333333307</v>
      </c>
      <c r="R18" s="172">
        <f>Q18*6/5</f>
        <v>0.74799999999999967</v>
      </c>
      <c r="S18" s="177"/>
    </row>
    <row r="19" spans="1:19" ht="15.75" x14ac:dyDescent="0.25">
      <c r="I19" s="118"/>
      <c r="J19" s="118"/>
      <c r="K19" s="118"/>
      <c r="L19" s="118"/>
      <c r="M19" s="118"/>
      <c r="N19" s="118"/>
      <c r="O19" s="118"/>
      <c r="P19" s="200"/>
      <c r="Q19" s="118"/>
      <c r="R19" s="118"/>
    </row>
    <row r="20" spans="1:19" ht="15.75" x14ac:dyDescent="0.25">
      <c r="A20" s="118" t="s">
        <v>369</v>
      </c>
      <c r="B20" s="118"/>
      <c r="C20" s="22"/>
      <c r="D20" s="22"/>
      <c r="E20" s="22"/>
      <c r="F20" s="22"/>
      <c r="G20" s="22"/>
      <c r="H20" s="22"/>
      <c r="I20" s="157"/>
      <c r="J20" s="157"/>
      <c r="K20" s="157"/>
      <c r="L20" s="168"/>
      <c r="M20" s="168"/>
      <c r="N20" s="168"/>
      <c r="O20" s="168"/>
      <c r="P20" s="201"/>
      <c r="Q20" s="120"/>
      <c r="R20" s="120"/>
      <c r="S20" s="22"/>
    </row>
    <row r="21" spans="1:19" ht="15.75" x14ac:dyDescent="0.25">
      <c r="A21" s="118" t="s">
        <v>370</v>
      </c>
      <c r="B21" s="118"/>
      <c r="C21" s="22"/>
      <c r="D21" s="22"/>
      <c r="E21" s="22"/>
      <c r="F21" s="22"/>
      <c r="G21" s="22"/>
      <c r="H21" s="22"/>
      <c r="I21" s="157"/>
      <c r="J21" s="157"/>
      <c r="K21" s="157"/>
      <c r="L21" s="168"/>
      <c r="M21" s="168"/>
      <c r="N21" s="168"/>
      <c r="O21" s="168"/>
      <c r="P21" s="201"/>
      <c r="Q21" s="120"/>
      <c r="R21" s="120"/>
      <c r="S21" s="22"/>
    </row>
    <row r="22" spans="1:19" ht="15.75" x14ac:dyDescent="0.25">
      <c r="A22" s="118"/>
      <c r="B22" s="118"/>
      <c r="C22" s="22"/>
      <c r="D22" s="22"/>
      <c r="E22" s="22"/>
      <c r="F22" s="22"/>
      <c r="G22" s="22"/>
      <c r="H22" s="22"/>
      <c r="I22" s="157"/>
      <c r="J22" s="157"/>
      <c r="K22" s="157"/>
      <c r="L22" s="168"/>
      <c r="M22" s="168"/>
      <c r="N22" s="168"/>
      <c r="O22" s="168"/>
      <c r="P22" s="201"/>
      <c r="Q22" s="120"/>
      <c r="R22" s="120"/>
      <c r="S22" s="22"/>
    </row>
    <row r="23" spans="1:19" ht="15.75" x14ac:dyDescent="0.25">
      <c r="A23" s="118" t="s">
        <v>348</v>
      </c>
      <c r="B23" s="118"/>
      <c r="C23" s="22"/>
      <c r="D23" s="22"/>
      <c r="E23" s="22"/>
      <c r="F23" s="22"/>
      <c r="G23" s="22"/>
      <c r="H23" s="22"/>
      <c r="I23" s="157"/>
      <c r="J23" s="157"/>
      <c r="K23" s="157"/>
      <c r="L23" s="168"/>
      <c r="M23" s="168"/>
      <c r="N23" s="168"/>
      <c r="O23" s="168"/>
      <c r="P23" s="201"/>
      <c r="Q23" s="120"/>
      <c r="R23" s="120"/>
      <c r="S23" s="22"/>
    </row>
    <row r="24" spans="1:19" ht="15.75" x14ac:dyDescent="0.25">
      <c r="A24" s="119" t="s">
        <v>349</v>
      </c>
      <c r="B24" s="119"/>
      <c r="C24" s="22"/>
      <c r="D24" s="22"/>
      <c r="E24" s="22"/>
      <c r="F24" s="22"/>
      <c r="G24" s="22"/>
      <c r="H24" s="22"/>
      <c r="I24" s="157"/>
      <c r="J24" s="157"/>
      <c r="K24" s="157"/>
      <c r="L24" s="168"/>
      <c r="M24" s="168"/>
      <c r="N24" s="168"/>
      <c r="O24" s="168"/>
      <c r="P24" s="201"/>
      <c r="Q24" s="120"/>
      <c r="R24" s="120"/>
      <c r="S24" s="120" t="s">
        <v>237</v>
      </c>
    </row>
  </sheetData>
  <autoFilter ref="A1:S18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2"/>
  <sheetViews>
    <sheetView zoomScaleNormal="100" workbookViewId="0">
      <selection activeCell="D21" sqref="D21"/>
    </sheetView>
  </sheetViews>
  <sheetFormatPr defaultColWidth="9.140625" defaultRowHeight="15.75" x14ac:dyDescent="0.25"/>
  <cols>
    <col min="1" max="1" width="33.140625" style="118" customWidth="1"/>
    <col min="2" max="2" width="4" style="202" customWidth="1"/>
    <col min="3" max="3" width="4.5703125" style="202" customWidth="1"/>
    <col min="4" max="4" width="9" style="202" customWidth="1"/>
    <col min="5" max="17" width="9.140625" style="202"/>
    <col min="18" max="18" width="9.140625" style="118"/>
    <col min="19" max="19" width="11.5703125" style="118" hidden="1" customWidth="1"/>
    <col min="20" max="1024" width="9.140625" style="118"/>
  </cols>
  <sheetData>
    <row r="1" spans="1:22" ht="37.5" x14ac:dyDescent="0.25">
      <c r="A1" s="158" t="s">
        <v>119</v>
      </c>
      <c r="B1" s="203" t="s">
        <v>2</v>
      </c>
      <c r="C1" s="204" t="s">
        <v>1</v>
      </c>
      <c r="D1" s="205" t="s">
        <v>351</v>
      </c>
      <c r="E1" s="205" t="s">
        <v>352</v>
      </c>
      <c r="F1" s="206">
        <v>1</v>
      </c>
      <c r="G1" s="207">
        <v>2</v>
      </c>
      <c r="H1" s="161">
        <v>3</v>
      </c>
      <c r="I1" s="161">
        <v>4</v>
      </c>
      <c r="J1" s="161">
        <v>5</v>
      </c>
      <c r="K1" s="161">
        <v>6</v>
      </c>
      <c r="L1" s="161">
        <v>7</v>
      </c>
      <c r="M1" s="161">
        <v>8</v>
      </c>
      <c r="N1" s="161">
        <v>9</v>
      </c>
      <c r="O1" s="158">
        <v>10</v>
      </c>
      <c r="P1" s="161" t="s">
        <v>190</v>
      </c>
      <c r="Q1" s="161" t="s">
        <v>3</v>
      </c>
      <c r="R1" s="161" t="s">
        <v>4</v>
      </c>
    </row>
    <row r="2" spans="1:22" s="219" customFormat="1" ht="18" customHeight="1" x14ac:dyDescent="0.2">
      <c r="A2" s="208" t="s">
        <v>336</v>
      </c>
      <c r="B2" s="209">
        <v>79</v>
      </c>
      <c r="C2" s="210">
        <v>11</v>
      </c>
      <c r="D2" s="211">
        <v>0.67666666666666697</v>
      </c>
      <c r="E2" s="211">
        <v>0.85</v>
      </c>
      <c r="F2" s="212">
        <v>1</v>
      </c>
      <c r="G2" s="212">
        <v>1</v>
      </c>
      <c r="H2" s="172">
        <v>0.68</v>
      </c>
      <c r="I2" s="213">
        <v>1</v>
      </c>
      <c r="J2" s="172">
        <v>0.70909090909090899</v>
      </c>
      <c r="K2" s="211">
        <v>0.12878787878787901</v>
      </c>
      <c r="L2" s="214">
        <v>1</v>
      </c>
      <c r="M2" s="214">
        <v>1</v>
      </c>
      <c r="N2" s="211">
        <v>0.57499999999999996</v>
      </c>
      <c r="O2" s="215">
        <v>0.79</v>
      </c>
      <c r="P2" s="172">
        <f t="shared" ref="P2:P16" si="0">SUM(D2:O2)-MIN(D2:O2)</f>
        <v>9.2807575757575762</v>
      </c>
      <c r="Q2" s="172">
        <f>P2</f>
        <v>9.2807575757575762</v>
      </c>
      <c r="R2" s="216" t="s">
        <v>103</v>
      </c>
      <c r="S2" s="217">
        <f t="shared" ref="S2:S16" si="1">SUM(H2:O2)</f>
        <v>5.8828787878787878</v>
      </c>
      <c r="T2" s="218"/>
      <c r="U2" s="218"/>
      <c r="V2" s="218"/>
    </row>
    <row r="3" spans="1:22" s="219" customFormat="1" ht="18" customHeight="1" x14ac:dyDescent="0.2">
      <c r="A3" s="208" t="s">
        <v>361</v>
      </c>
      <c r="B3" s="209">
        <v>145</v>
      </c>
      <c r="C3" s="210">
        <v>11</v>
      </c>
      <c r="D3" s="220">
        <v>0.58333333333333304</v>
      </c>
      <c r="E3" s="220">
        <v>0.68</v>
      </c>
      <c r="F3" s="220">
        <v>0.86</v>
      </c>
      <c r="G3" s="221">
        <v>0.83</v>
      </c>
      <c r="H3" s="211">
        <v>0.28999999999999998</v>
      </c>
      <c r="I3" s="172">
        <v>0.65517241379310298</v>
      </c>
      <c r="J3" s="172">
        <v>0.218181818181818</v>
      </c>
      <c r="K3" s="211">
        <v>0.30303030303030298</v>
      </c>
      <c r="L3" s="172">
        <v>0.52500000000000002</v>
      </c>
      <c r="M3" s="172">
        <v>0.625</v>
      </c>
      <c r="N3" s="172">
        <v>0.625</v>
      </c>
      <c r="O3" s="172">
        <v>0.46500000000000002</v>
      </c>
      <c r="P3" s="172">
        <f t="shared" si="0"/>
        <v>6.4415360501567394</v>
      </c>
      <c r="Q3" s="172">
        <f>P3</f>
        <v>6.4415360501567394</v>
      </c>
      <c r="R3" s="216" t="s">
        <v>103</v>
      </c>
      <c r="S3" s="217">
        <f t="shared" si="1"/>
        <v>3.706384535005224</v>
      </c>
    </row>
    <row r="4" spans="1:22" s="219" customFormat="1" ht="18" customHeight="1" x14ac:dyDescent="0.2">
      <c r="A4" s="222" t="s">
        <v>362</v>
      </c>
      <c r="B4" s="209">
        <v>171</v>
      </c>
      <c r="C4" s="223">
        <v>11</v>
      </c>
      <c r="D4" s="211">
        <v>0.39</v>
      </c>
      <c r="E4" s="211">
        <v>0.61</v>
      </c>
      <c r="F4" s="211">
        <v>0.89</v>
      </c>
      <c r="G4" s="221">
        <v>0.83</v>
      </c>
      <c r="H4" s="172">
        <v>0.19500000000000001</v>
      </c>
      <c r="I4" s="211">
        <v>0.55172413793103403</v>
      </c>
      <c r="J4" s="173">
        <v>0.89090909090909098</v>
      </c>
      <c r="K4" s="172">
        <v>0.48484848484848497</v>
      </c>
      <c r="L4" s="211">
        <v>0.65</v>
      </c>
      <c r="M4" s="211">
        <v>0.125</v>
      </c>
      <c r="N4" s="172">
        <v>0.05</v>
      </c>
      <c r="O4" s="172">
        <v>0.55000000000000004</v>
      </c>
      <c r="P4" s="172">
        <f t="shared" si="0"/>
        <v>6.16748171368861</v>
      </c>
      <c r="Q4" s="172">
        <f>P4</f>
        <v>6.16748171368861</v>
      </c>
      <c r="R4" s="216" t="s">
        <v>103</v>
      </c>
      <c r="S4" s="217">
        <f t="shared" si="1"/>
        <v>3.49748171368861</v>
      </c>
    </row>
    <row r="5" spans="1:22" s="219" customFormat="1" ht="18" customHeight="1" x14ac:dyDescent="0.2">
      <c r="A5" s="208" t="s">
        <v>365</v>
      </c>
      <c r="B5" s="224" t="s">
        <v>6</v>
      </c>
      <c r="C5" s="210">
        <v>10</v>
      </c>
      <c r="D5" s="225">
        <v>0.63333333333333297</v>
      </c>
      <c r="E5" s="225">
        <v>0.57666666666666699</v>
      </c>
      <c r="F5" s="226">
        <v>0</v>
      </c>
      <c r="G5" s="225">
        <v>0.74</v>
      </c>
      <c r="H5" s="172">
        <v>0.36</v>
      </c>
      <c r="I5" s="211">
        <v>0.65517241379310298</v>
      </c>
      <c r="J5" s="172">
        <v>0.27272727272727298</v>
      </c>
      <c r="K5" s="172">
        <v>0.30303030303030298</v>
      </c>
      <c r="L5" s="211">
        <v>0.5</v>
      </c>
      <c r="M5" s="211">
        <v>0.35</v>
      </c>
      <c r="N5" s="227">
        <v>0</v>
      </c>
      <c r="O5" s="172">
        <v>0.44</v>
      </c>
      <c r="P5" s="172">
        <f t="shared" si="0"/>
        <v>4.830929989550679</v>
      </c>
      <c r="Q5" s="172">
        <f>P5*11/10</f>
        <v>5.3140229885057462</v>
      </c>
      <c r="R5" s="216" t="s">
        <v>103</v>
      </c>
      <c r="S5" s="217">
        <f t="shared" si="1"/>
        <v>2.8809299895506788</v>
      </c>
    </row>
    <row r="6" spans="1:22" s="219" customFormat="1" ht="18" customHeight="1" x14ac:dyDescent="0.2">
      <c r="A6" s="228" t="s">
        <v>371</v>
      </c>
      <c r="B6" s="209" t="s">
        <v>137</v>
      </c>
      <c r="C6" s="229">
        <v>11</v>
      </c>
      <c r="D6" s="211">
        <v>0.36666666666666697</v>
      </c>
      <c r="E6" s="211">
        <v>0.34666666666666701</v>
      </c>
      <c r="F6" s="226">
        <v>0</v>
      </c>
      <c r="G6" s="221">
        <v>0.57799999999999996</v>
      </c>
      <c r="H6" s="227">
        <v>0</v>
      </c>
      <c r="I6" s="172">
        <v>0.22068965517241401</v>
      </c>
      <c r="J6" s="213">
        <v>1</v>
      </c>
      <c r="K6" s="172">
        <v>0.30303030303030298</v>
      </c>
      <c r="L6" s="172">
        <v>0.6</v>
      </c>
      <c r="M6" s="172">
        <v>0.5</v>
      </c>
      <c r="N6" s="172">
        <v>0.6</v>
      </c>
      <c r="O6" s="172">
        <v>0.49</v>
      </c>
      <c r="P6" s="172">
        <f t="shared" si="0"/>
        <v>5.0050532915360515</v>
      </c>
      <c r="Q6" s="172">
        <f>P6</f>
        <v>5.0050532915360515</v>
      </c>
      <c r="R6" s="216" t="s">
        <v>103</v>
      </c>
      <c r="S6" s="217">
        <f t="shared" si="1"/>
        <v>3.7137199582027174</v>
      </c>
    </row>
    <row r="7" spans="1:22" s="219" customFormat="1" ht="18" customHeight="1" x14ac:dyDescent="0.2">
      <c r="A7" s="208" t="s">
        <v>342</v>
      </c>
      <c r="B7" s="209">
        <v>171</v>
      </c>
      <c r="C7" s="210">
        <v>11</v>
      </c>
      <c r="D7" s="211">
        <v>0.483333333333333</v>
      </c>
      <c r="E7" s="211">
        <v>0.36666666666666697</v>
      </c>
      <c r="F7" s="211">
        <v>0.628</v>
      </c>
      <c r="G7" s="221">
        <v>0.57999999999999996</v>
      </c>
      <c r="H7" s="226">
        <v>0</v>
      </c>
      <c r="I7" s="211">
        <v>0.55172413793103403</v>
      </c>
      <c r="J7" s="173">
        <v>0.94545454545454499</v>
      </c>
      <c r="K7" s="172">
        <v>0.24242424242424199</v>
      </c>
      <c r="L7" s="172">
        <v>0.52500000000000002</v>
      </c>
      <c r="M7" s="172">
        <v>0.42499999999999999</v>
      </c>
      <c r="N7" s="227">
        <v>0</v>
      </c>
      <c r="O7" s="172">
        <v>0.2</v>
      </c>
      <c r="P7" s="172">
        <f t="shared" si="0"/>
        <v>4.9476029258098206</v>
      </c>
      <c r="Q7" s="172">
        <f>P7</f>
        <v>4.9476029258098206</v>
      </c>
      <c r="R7" s="230" t="s">
        <v>159</v>
      </c>
      <c r="S7" s="217">
        <f t="shared" si="1"/>
        <v>2.8896029258098213</v>
      </c>
    </row>
    <row r="8" spans="1:22" s="219" customFormat="1" ht="18" customHeight="1" x14ac:dyDescent="0.2">
      <c r="A8" s="208" t="s">
        <v>337</v>
      </c>
      <c r="B8" s="209">
        <v>171</v>
      </c>
      <c r="C8" s="210">
        <v>11</v>
      </c>
      <c r="D8" s="220">
        <v>0.52</v>
      </c>
      <c r="E8" s="220">
        <v>0.54666666666666697</v>
      </c>
      <c r="F8" s="220">
        <v>0.91</v>
      </c>
      <c r="G8" s="231">
        <v>0.78</v>
      </c>
      <c r="H8" s="172">
        <v>0.39</v>
      </c>
      <c r="I8" s="172">
        <v>0.45517241379310402</v>
      </c>
      <c r="J8" s="172">
        <v>0.49090909090909102</v>
      </c>
      <c r="K8" s="172">
        <v>6.0606060606060601E-2</v>
      </c>
      <c r="L8" s="172">
        <v>0.5</v>
      </c>
      <c r="M8" s="172">
        <v>0.2</v>
      </c>
      <c r="N8" s="172">
        <v>0.05</v>
      </c>
      <c r="O8" s="172">
        <v>7.0000000000000007E-2</v>
      </c>
      <c r="P8" s="172">
        <f t="shared" si="0"/>
        <v>4.9233542319749226</v>
      </c>
      <c r="Q8" s="172">
        <f>P8</f>
        <v>4.9233542319749226</v>
      </c>
      <c r="R8" s="232"/>
      <c r="S8" s="217">
        <f t="shared" si="1"/>
        <v>2.2166875653082552</v>
      </c>
    </row>
    <row r="9" spans="1:22" s="219" customFormat="1" ht="18" customHeight="1" x14ac:dyDescent="0.2">
      <c r="A9" s="228" t="s">
        <v>372</v>
      </c>
      <c r="B9" s="224" t="s">
        <v>6</v>
      </c>
      <c r="C9" s="210">
        <v>9</v>
      </c>
      <c r="D9" s="211">
        <v>0.266666666666667</v>
      </c>
      <c r="E9" s="211">
        <v>0.28999999999999998</v>
      </c>
      <c r="F9" s="211">
        <v>0.71199999999999997</v>
      </c>
      <c r="G9" s="221">
        <v>0.54</v>
      </c>
      <c r="H9" s="227">
        <v>0</v>
      </c>
      <c r="I9" s="172">
        <v>0.17931034482758601</v>
      </c>
      <c r="J9" s="172">
        <v>0.30909090909090903</v>
      </c>
      <c r="K9" s="227">
        <v>0</v>
      </c>
      <c r="L9" s="172">
        <v>0.2</v>
      </c>
      <c r="M9" s="172">
        <v>0.22500000000000001</v>
      </c>
      <c r="N9" s="172">
        <v>2.5000000000000001E-2</v>
      </c>
      <c r="O9" s="172">
        <v>0.32500000000000001</v>
      </c>
      <c r="P9" s="172">
        <f t="shared" si="0"/>
        <v>3.0720679205851624</v>
      </c>
      <c r="Q9" s="172">
        <f>P9*6/5</f>
        <v>3.6864815047021948</v>
      </c>
      <c r="R9" s="216" t="s">
        <v>103</v>
      </c>
      <c r="S9" s="217">
        <f t="shared" si="1"/>
        <v>1.2634012539184951</v>
      </c>
    </row>
    <row r="10" spans="1:22" s="219" customFormat="1" ht="18" customHeight="1" x14ac:dyDescent="0.2">
      <c r="A10" s="208" t="s">
        <v>363</v>
      </c>
      <c r="B10" s="224" t="s">
        <v>6</v>
      </c>
      <c r="C10" s="210">
        <v>11</v>
      </c>
      <c r="D10" s="220">
        <v>0.4</v>
      </c>
      <c r="E10" s="220">
        <v>0.413333333333333</v>
      </c>
      <c r="F10" s="220">
        <v>0.68</v>
      </c>
      <c r="G10" s="231">
        <v>0.624</v>
      </c>
      <c r="H10" s="172">
        <v>0.4</v>
      </c>
      <c r="I10" s="172">
        <v>6.2068965517241399E-2</v>
      </c>
      <c r="J10" s="172">
        <v>0.218181818181818</v>
      </c>
      <c r="K10" s="227">
        <v>0</v>
      </c>
      <c r="L10" s="227">
        <v>0</v>
      </c>
      <c r="M10" s="172">
        <v>0.42499999999999999</v>
      </c>
      <c r="N10" s="227">
        <v>0</v>
      </c>
      <c r="O10" s="227">
        <v>0</v>
      </c>
      <c r="P10" s="172">
        <f t="shared" si="0"/>
        <v>3.2225841170323921</v>
      </c>
      <c r="Q10" s="172">
        <f>P10</f>
        <v>3.2225841170323921</v>
      </c>
      <c r="R10" s="232"/>
      <c r="S10" s="217">
        <f t="shared" si="1"/>
        <v>1.1052507836990595</v>
      </c>
    </row>
    <row r="11" spans="1:22" s="219" customFormat="1" ht="18" customHeight="1" x14ac:dyDescent="0.2">
      <c r="A11" s="228" t="s">
        <v>373</v>
      </c>
      <c r="B11" s="224">
        <v>157</v>
      </c>
      <c r="C11" s="229">
        <v>11</v>
      </c>
      <c r="D11" s="220">
        <v>0.45</v>
      </c>
      <c r="E11" s="220">
        <v>0.163333333333333</v>
      </c>
      <c r="F11" s="220">
        <v>0.6</v>
      </c>
      <c r="G11" s="231">
        <v>0.56999999999999995</v>
      </c>
      <c r="H11" s="211">
        <v>0.36499999999999999</v>
      </c>
      <c r="I11" s="211">
        <v>2.7586206896551699E-2</v>
      </c>
      <c r="J11" s="172">
        <v>0.218181818181818</v>
      </c>
      <c r="K11" s="233">
        <v>0</v>
      </c>
      <c r="L11" s="226">
        <v>0</v>
      </c>
      <c r="M11" s="227">
        <v>0</v>
      </c>
      <c r="N11" s="227">
        <v>0</v>
      </c>
      <c r="O11" s="227">
        <v>0</v>
      </c>
      <c r="P11" s="172">
        <f t="shared" si="0"/>
        <v>2.3941013584117021</v>
      </c>
      <c r="Q11" s="172">
        <f>P11</f>
        <v>2.3941013584117021</v>
      </c>
      <c r="R11" s="232"/>
      <c r="S11" s="217">
        <f t="shared" si="1"/>
        <v>0.61076802507836969</v>
      </c>
    </row>
    <row r="12" spans="1:22" s="219" customFormat="1" ht="18" customHeight="1" x14ac:dyDescent="0.2">
      <c r="A12" s="228" t="s">
        <v>374</v>
      </c>
      <c r="B12" s="224" t="s">
        <v>6</v>
      </c>
      <c r="C12" s="210">
        <v>10</v>
      </c>
      <c r="D12" s="220">
        <v>0.32333333333333297</v>
      </c>
      <c r="E12" s="220">
        <v>0.34666666666666701</v>
      </c>
      <c r="F12" s="226">
        <v>0</v>
      </c>
      <c r="G12" s="231">
        <v>0.28000000000000003</v>
      </c>
      <c r="H12" s="172">
        <v>0.06</v>
      </c>
      <c r="I12" s="172">
        <v>6.8965517241379301E-3</v>
      </c>
      <c r="J12" s="172">
        <v>0.34545454545454501</v>
      </c>
      <c r="K12" s="172">
        <v>0.13636363636363599</v>
      </c>
      <c r="L12" s="172">
        <v>0.2</v>
      </c>
      <c r="M12" s="227">
        <v>0</v>
      </c>
      <c r="N12" s="227">
        <v>0</v>
      </c>
      <c r="O12" s="227">
        <v>0</v>
      </c>
      <c r="P12" s="172">
        <f t="shared" si="0"/>
        <v>1.6987147335423189</v>
      </c>
      <c r="Q12" s="172">
        <f>P12*11/10</f>
        <v>1.8685862068965509</v>
      </c>
      <c r="R12" s="216"/>
      <c r="S12" s="217">
        <f t="shared" si="1"/>
        <v>0.74871473354231899</v>
      </c>
    </row>
    <row r="13" spans="1:22" s="218" customFormat="1" ht="18" customHeight="1" x14ac:dyDescent="0.2">
      <c r="A13" s="222" t="s">
        <v>375</v>
      </c>
      <c r="B13" s="209">
        <v>171</v>
      </c>
      <c r="C13" s="223">
        <v>10</v>
      </c>
      <c r="D13" s="211">
        <v>0.41666666666666702</v>
      </c>
      <c r="E13" s="211">
        <v>0.46666666666666701</v>
      </c>
      <c r="F13" s="226">
        <v>0</v>
      </c>
      <c r="G13" s="221">
        <v>0.34</v>
      </c>
      <c r="H13" s="227">
        <v>0</v>
      </c>
      <c r="I13" s="227">
        <v>0</v>
      </c>
      <c r="J13" s="172">
        <v>0.12727272727272701</v>
      </c>
      <c r="K13" s="227">
        <v>0</v>
      </c>
      <c r="L13" s="226">
        <v>0</v>
      </c>
      <c r="M13" s="172">
        <v>0.125</v>
      </c>
      <c r="N13" s="172">
        <v>2.5000000000000001E-2</v>
      </c>
      <c r="O13" s="172">
        <v>0.01</v>
      </c>
      <c r="P13" s="172">
        <f t="shared" si="0"/>
        <v>1.510606060606061</v>
      </c>
      <c r="Q13" s="172">
        <f>P13*11/10</f>
        <v>1.6616666666666671</v>
      </c>
      <c r="R13" s="216"/>
      <c r="S13" s="217">
        <f t="shared" si="1"/>
        <v>0.28727272727272701</v>
      </c>
      <c r="T13" s="219"/>
      <c r="U13" s="219"/>
      <c r="V13" s="219"/>
    </row>
    <row r="14" spans="1:22" s="219" customFormat="1" ht="18" customHeight="1" x14ac:dyDescent="0.2">
      <c r="A14" s="228" t="s">
        <v>376</v>
      </c>
      <c r="B14" s="224">
        <v>178</v>
      </c>
      <c r="C14" s="229">
        <v>10</v>
      </c>
      <c r="D14" s="220">
        <v>0.23</v>
      </c>
      <c r="E14" s="220">
        <v>0.38333333333333303</v>
      </c>
      <c r="F14" s="226">
        <v>0</v>
      </c>
      <c r="G14" s="231">
        <v>0.24399999999999999</v>
      </c>
      <c r="H14" s="211">
        <v>0.1</v>
      </c>
      <c r="I14" s="233">
        <v>0</v>
      </c>
      <c r="J14" s="172">
        <v>0.236363636363636</v>
      </c>
      <c r="K14" s="172">
        <v>6.0606060606060601E-2</v>
      </c>
      <c r="L14" s="227">
        <v>0</v>
      </c>
      <c r="M14" s="227">
        <v>0</v>
      </c>
      <c r="N14" s="172">
        <v>2.5000000000000001E-2</v>
      </c>
      <c r="O14" s="172">
        <v>0.08</v>
      </c>
      <c r="P14" s="172">
        <f t="shared" si="0"/>
        <v>1.3593030303030296</v>
      </c>
      <c r="Q14" s="172">
        <f>P14*11/10</f>
        <v>1.4952333333333325</v>
      </c>
      <c r="R14" s="216"/>
      <c r="S14" s="217">
        <f t="shared" si="1"/>
        <v>0.50196969696969662</v>
      </c>
    </row>
    <row r="15" spans="1:22" s="219" customFormat="1" ht="18" customHeight="1" x14ac:dyDescent="0.2">
      <c r="A15" s="222" t="s">
        <v>368</v>
      </c>
      <c r="B15" s="209">
        <v>171</v>
      </c>
      <c r="C15" s="223">
        <v>10</v>
      </c>
      <c r="D15" s="211">
        <v>0.2</v>
      </c>
      <c r="E15" s="211">
        <v>0.413333333333333</v>
      </c>
      <c r="F15" s="226">
        <v>0</v>
      </c>
      <c r="G15" s="221">
        <v>0.56200000000000006</v>
      </c>
      <c r="H15" s="226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172">
        <f t="shared" si="0"/>
        <v>1.1753333333333331</v>
      </c>
      <c r="Q15" s="172">
        <f>P15*11/10</f>
        <v>1.2928666666666664</v>
      </c>
      <c r="R15" s="232"/>
      <c r="S15" s="217">
        <f t="shared" si="1"/>
        <v>0</v>
      </c>
    </row>
    <row r="16" spans="1:22" s="219" customFormat="1" ht="18" customHeight="1" x14ac:dyDescent="0.2">
      <c r="A16" s="222" t="s">
        <v>377</v>
      </c>
      <c r="B16" s="209">
        <v>171</v>
      </c>
      <c r="C16" s="223">
        <v>8</v>
      </c>
      <c r="D16" s="211">
        <v>0.28333333333333299</v>
      </c>
      <c r="E16" s="211">
        <v>0.05</v>
      </c>
      <c r="F16" s="226">
        <v>0</v>
      </c>
      <c r="G16" s="233">
        <v>0</v>
      </c>
      <c r="H16" s="226">
        <v>0</v>
      </c>
      <c r="I16" s="227">
        <v>0</v>
      </c>
      <c r="J16" s="226">
        <v>0</v>
      </c>
      <c r="K16" s="227">
        <v>0</v>
      </c>
      <c r="L16" s="227">
        <v>0</v>
      </c>
      <c r="M16" s="227">
        <v>0</v>
      </c>
      <c r="N16" s="227">
        <v>0</v>
      </c>
      <c r="O16" s="227">
        <v>0</v>
      </c>
      <c r="P16" s="172">
        <f t="shared" si="0"/>
        <v>0.33333333333333298</v>
      </c>
      <c r="Q16" s="172">
        <f>P16*6/5</f>
        <v>0.39999999999999958</v>
      </c>
      <c r="R16" s="216"/>
      <c r="S16" s="217">
        <f t="shared" si="1"/>
        <v>0</v>
      </c>
    </row>
    <row r="17" spans="1:18" x14ac:dyDescent="0.25">
      <c r="O17" s="234"/>
    </row>
    <row r="18" spans="1:18" x14ac:dyDescent="0.25">
      <c r="A18" s="118" t="s">
        <v>369</v>
      </c>
      <c r="B18" s="120"/>
      <c r="C18" s="120"/>
      <c r="D18" s="120"/>
      <c r="E18" s="120"/>
      <c r="F18" s="120"/>
      <c r="G18" s="120"/>
      <c r="H18" s="235"/>
      <c r="I18" s="235"/>
      <c r="J18" s="235"/>
      <c r="K18" s="235"/>
      <c r="L18" s="235"/>
      <c r="M18" s="235"/>
      <c r="N18" s="235"/>
      <c r="O18" s="236"/>
      <c r="P18" s="120"/>
      <c r="Q18" s="120"/>
      <c r="R18" s="120"/>
    </row>
    <row r="19" spans="1:18" x14ac:dyDescent="0.25">
      <c r="A19" s="118" t="s">
        <v>378</v>
      </c>
      <c r="B19" s="120"/>
      <c r="C19" s="120"/>
      <c r="D19" s="120"/>
      <c r="E19" s="120"/>
      <c r="F19" s="120"/>
      <c r="G19" s="120"/>
      <c r="H19" s="235"/>
      <c r="I19" s="235"/>
      <c r="J19" s="235"/>
      <c r="K19" s="235"/>
      <c r="L19" s="235"/>
      <c r="M19" s="235"/>
      <c r="N19" s="235"/>
      <c r="O19" s="236"/>
      <c r="P19" s="120"/>
      <c r="Q19" s="120"/>
      <c r="R19" s="120"/>
    </row>
    <row r="20" spans="1:18" x14ac:dyDescent="0.25">
      <c r="B20" s="120"/>
      <c r="C20" s="120"/>
      <c r="D20" s="120"/>
      <c r="E20" s="120"/>
      <c r="F20" s="120"/>
      <c r="G20" s="120"/>
      <c r="H20" s="235"/>
      <c r="I20" s="235"/>
      <c r="J20" s="235"/>
      <c r="K20" s="235"/>
      <c r="L20" s="235"/>
      <c r="M20" s="235"/>
      <c r="N20" s="235"/>
      <c r="O20" s="236"/>
      <c r="P20" s="120"/>
      <c r="Q20" s="120"/>
      <c r="R20" s="120"/>
    </row>
    <row r="21" spans="1:18" x14ac:dyDescent="0.25">
      <c r="A21" s="118" t="s">
        <v>348</v>
      </c>
      <c r="B21" s="120"/>
      <c r="C21" s="120"/>
      <c r="D21" s="120"/>
      <c r="E21" s="120"/>
      <c r="F21" s="120"/>
      <c r="G21" s="120"/>
      <c r="H21" s="235"/>
      <c r="I21" s="235"/>
      <c r="J21" s="235"/>
      <c r="K21" s="235"/>
      <c r="L21" s="235"/>
      <c r="M21" s="235"/>
      <c r="N21" s="235"/>
      <c r="O21" s="236"/>
      <c r="P21" s="120"/>
      <c r="Q21" s="120"/>
      <c r="R21" s="120"/>
    </row>
    <row r="22" spans="1:18" x14ac:dyDescent="0.25">
      <c r="A22" s="119" t="s">
        <v>349</v>
      </c>
      <c r="B22" s="120"/>
      <c r="C22" s="120"/>
      <c r="D22" s="120"/>
      <c r="E22" s="120"/>
      <c r="F22" s="120"/>
      <c r="G22" s="120"/>
      <c r="H22" s="235"/>
      <c r="I22" s="235"/>
      <c r="J22" s="235"/>
      <c r="K22" s="235"/>
      <c r="L22" s="235"/>
      <c r="M22" s="235"/>
      <c r="N22" s="235"/>
      <c r="O22" s="236"/>
      <c r="P22" s="120"/>
      <c r="Q22" s="120"/>
      <c r="R22" s="120" t="s">
        <v>237</v>
      </c>
    </row>
  </sheetData>
  <autoFilter ref="A1:R16"/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5"/>
  <sheetViews>
    <sheetView zoomScaleNormal="100" workbookViewId="0"/>
  </sheetViews>
  <sheetFormatPr defaultColWidth="8.7109375" defaultRowHeight="12.75" x14ac:dyDescent="0.2"/>
  <cols>
    <col min="1" max="1" width="31.42578125" customWidth="1"/>
    <col min="2" max="2" width="4.5703125" customWidth="1"/>
    <col min="3" max="3" width="3.85546875" customWidth="1"/>
    <col min="4" max="17" width="6.7109375" customWidth="1"/>
    <col min="18" max="18" width="8.7109375" style="237"/>
  </cols>
  <sheetData>
    <row r="1" spans="1:18" ht="37.5" x14ac:dyDescent="0.2">
      <c r="A1" s="158" t="s">
        <v>119</v>
      </c>
      <c r="B1" s="203" t="s">
        <v>2</v>
      </c>
      <c r="C1" s="204" t="s">
        <v>1</v>
      </c>
      <c r="D1" s="205" t="s">
        <v>351</v>
      </c>
      <c r="E1" s="205" t="s">
        <v>352</v>
      </c>
      <c r="F1" s="206" t="s">
        <v>379</v>
      </c>
      <c r="G1" s="207" t="s">
        <v>327</v>
      </c>
      <c r="H1" s="161" t="s">
        <v>328</v>
      </c>
      <c r="I1" s="161">
        <v>4</v>
      </c>
      <c r="J1" s="161">
        <v>5</v>
      </c>
      <c r="K1" s="161" t="s">
        <v>266</v>
      </c>
      <c r="L1" s="161" t="s">
        <v>380</v>
      </c>
      <c r="M1" s="161" t="s">
        <v>381</v>
      </c>
      <c r="N1" s="161" t="s">
        <v>359</v>
      </c>
      <c r="O1" s="158" t="s">
        <v>382</v>
      </c>
      <c r="P1" s="161" t="s">
        <v>190</v>
      </c>
      <c r="Q1" s="161" t="s">
        <v>3</v>
      </c>
      <c r="R1" s="161" t="s">
        <v>4</v>
      </c>
    </row>
    <row r="2" spans="1:18" ht="15.95" customHeight="1" x14ac:dyDescent="0.2">
      <c r="A2" s="222" t="s">
        <v>383</v>
      </c>
      <c r="B2" s="209">
        <v>171</v>
      </c>
      <c r="C2" s="212">
        <v>11</v>
      </c>
      <c r="D2" s="211">
        <f>274/600</f>
        <v>0.45666666666666667</v>
      </c>
      <c r="E2" s="211">
        <f>188/600</f>
        <v>0.31333333333333335</v>
      </c>
      <c r="F2" s="211">
        <f>38/80</f>
        <v>0.47499999999999998</v>
      </c>
      <c r="G2" s="211">
        <f>82/140</f>
        <v>0.58571428571428574</v>
      </c>
      <c r="H2" s="238">
        <f>18/24</f>
        <v>0.75</v>
      </c>
      <c r="I2" s="191">
        <f>265/400</f>
        <v>0.66249999999999998</v>
      </c>
      <c r="J2" s="172">
        <f>365/500</f>
        <v>0.73</v>
      </c>
      <c r="K2" s="225">
        <f>20/36</f>
        <v>0.55555555555555558</v>
      </c>
      <c r="L2" s="239">
        <f>240/300</f>
        <v>0.8</v>
      </c>
      <c r="M2" s="211">
        <f>95/200</f>
        <v>0.47499999999999998</v>
      </c>
      <c r="N2" s="211">
        <f>110/200</f>
        <v>0.55000000000000004</v>
      </c>
      <c r="O2" s="211">
        <f>157/300</f>
        <v>0.52333333333333332</v>
      </c>
      <c r="P2" s="172">
        <f t="shared" ref="P2:P15" si="0">SUM(D2:O2)-MIN(D2:O2)</f>
        <v>6.5637698412698411</v>
      </c>
      <c r="Q2" s="172">
        <f>P2</f>
        <v>6.5637698412698411</v>
      </c>
      <c r="R2" s="177" t="s">
        <v>103</v>
      </c>
    </row>
    <row r="3" spans="1:18" ht="15.95" customHeight="1" x14ac:dyDescent="0.2">
      <c r="A3" s="228" t="s">
        <v>384</v>
      </c>
      <c r="B3" s="224" t="s">
        <v>6</v>
      </c>
      <c r="C3" s="226">
        <v>11</v>
      </c>
      <c r="D3" s="220">
        <f>210/600</f>
        <v>0.35</v>
      </c>
      <c r="E3" s="220">
        <f>410/600</f>
        <v>0.68333333333333335</v>
      </c>
      <c r="F3" s="211">
        <f>32/80</f>
        <v>0.4</v>
      </c>
      <c r="G3" s="211">
        <f>72/140</f>
        <v>0.51428571428571423</v>
      </c>
      <c r="H3" s="240">
        <f>19/24</f>
        <v>0.79166666666666663</v>
      </c>
      <c r="I3" s="173">
        <f>365/400</f>
        <v>0.91249999999999998</v>
      </c>
      <c r="J3" s="173">
        <f>390/500</f>
        <v>0.78</v>
      </c>
      <c r="K3" s="225">
        <f>9/36</f>
        <v>0.25</v>
      </c>
      <c r="L3" s="191">
        <f>140/300</f>
        <v>0.46666666666666667</v>
      </c>
      <c r="M3" s="191">
        <f>5/200</f>
        <v>2.5000000000000001E-2</v>
      </c>
      <c r="N3" s="191">
        <f>8/200</f>
        <v>0.04</v>
      </c>
      <c r="O3" s="191">
        <f>60/300</f>
        <v>0.2</v>
      </c>
      <c r="P3" s="172">
        <f t="shared" si="0"/>
        <v>5.3884523809523808</v>
      </c>
      <c r="Q3" s="172">
        <f>P3</f>
        <v>5.3884523809523808</v>
      </c>
      <c r="R3" s="177" t="s">
        <v>103</v>
      </c>
    </row>
    <row r="4" spans="1:18" ht="15.95" customHeight="1" x14ac:dyDescent="0.2">
      <c r="A4" s="228" t="s">
        <v>385</v>
      </c>
      <c r="B4" s="210">
        <v>52</v>
      </c>
      <c r="C4" s="241">
        <v>10</v>
      </c>
      <c r="D4" s="211">
        <f>218/600</f>
        <v>0.36333333333333334</v>
      </c>
      <c r="E4" s="211">
        <f>114/600</f>
        <v>0.19</v>
      </c>
      <c r="F4" s="211">
        <f>3/80</f>
        <v>3.7499999999999999E-2</v>
      </c>
      <c r="G4" s="212">
        <v>0</v>
      </c>
      <c r="H4" s="212">
        <v>0</v>
      </c>
      <c r="I4" s="211">
        <f>210/400</f>
        <v>0.52500000000000002</v>
      </c>
      <c r="J4" s="172">
        <f>310/500</f>
        <v>0.62</v>
      </c>
      <c r="K4" s="191">
        <f>21/36</f>
        <v>0.58333333333333337</v>
      </c>
      <c r="L4" s="240">
        <f>240/300</f>
        <v>0.8</v>
      </c>
      <c r="M4" s="211">
        <f>105/200</f>
        <v>0.52500000000000002</v>
      </c>
      <c r="N4" s="172">
        <f>110/200</f>
        <v>0.55000000000000004</v>
      </c>
      <c r="O4" s="172">
        <f>157/300</f>
        <v>0.52333333333333332</v>
      </c>
      <c r="P4" s="172">
        <f t="shared" si="0"/>
        <v>4.7175000000000002</v>
      </c>
      <c r="Q4" s="172">
        <f>P4*1.1</f>
        <v>5.1892500000000004</v>
      </c>
      <c r="R4" s="177" t="s">
        <v>103</v>
      </c>
    </row>
    <row r="5" spans="1:18" ht="15.95" customHeight="1" x14ac:dyDescent="0.2">
      <c r="A5" s="228" t="s">
        <v>386</v>
      </c>
      <c r="B5" s="210" t="s">
        <v>6</v>
      </c>
      <c r="C5" s="226">
        <v>11</v>
      </c>
      <c r="D5" s="220">
        <f>316/600</f>
        <v>0.52666666666666662</v>
      </c>
      <c r="E5" s="220">
        <f>142/600</f>
        <v>0.23666666666666666</v>
      </c>
      <c r="F5" s="211">
        <f>21/80</f>
        <v>0.26250000000000001</v>
      </c>
      <c r="G5" s="211">
        <f>47/140</f>
        <v>0.33571428571428569</v>
      </c>
      <c r="H5" s="211">
        <f>17/24</f>
        <v>0.70833333333333337</v>
      </c>
      <c r="I5" s="225">
        <f>275/400</f>
        <v>0.6875</v>
      </c>
      <c r="J5" s="172">
        <f>345/500</f>
        <v>0.69</v>
      </c>
      <c r="K5" s="172">
        <f>8/36</f>
        <v>0.22222222222222221</v>
      </c>
      <c r="L5" s="225">
        <f>164/300</f>
        <v>0.54666666666666663</v>
      </c>
      <c r="M5" s="212">
        <v>0</v>
      </c>
      <c r="N5" s="172">
        <f>66/200</f>
        <v>0.33</v>
      </c>
      <c r="O5" s="172">
        <f>122/300</f>
        <v>0.40666666666666668</v>
      </c>
      <c r="P5" s="172">
        <f t="shared" si="0"/>
        <v>4.9529365079365073</v>
      </c>
      <c r="Q5" s="172">
        <f>P5</f>
        <v>4.9529365079365073</v>
      </c>
      <c r="R5" s="177" t="s">
        <v>103</v>
      </c>
    </row>
    <row r="6" spans="1:18" ht="15.95" customHeight="1" x14ac:dyDescent="0.2">
      <c r="A6" s="208" t="s">
        <v>387</v>
      </c>
      <c r="B6" s="223">
        <v>208</v>
      </c>
      <c r="C6" s="241">
        <v>10</v>
      </c>
      <c r="D6" s="211">
        <f>180/600</f>
        <v>0.3</v>
      </c>
      <c r="E6" s="211">
        <f>276/600</f>
        <v>0.46</v>
      </c>
      <c r="F6" s="211">
        <f>18/80</f>
        <v>0.22500000000000001</v>
      </c>
      <c r="G6" s="211">
        <f>6/140</f>
        <v>4.2857142857142858E-2</v>
      </c>
      <c r="H6" s="225">
        <f>17/24</f>
        <v>0.70833333333333337</v>
      </c>
      <c r="I6" s="211">
        <f>182/400</f>
        <v>0.45500000000000002</v>
      </c>
      <c r="J6" s="211">
        <f>310/500</f>
        <v>0.62</v>
      </c>
      <c r="K6" s="211">
        <f>2/36</f>
        <v>5.5555555555555552E-2</v>
      </c>
      <c r="L6" s="211">
        <f>93/300</f>
        <v>0.31</v>
      </c>
      <c r="M6" s="211">
        <f>40/200</f>
        <v>0.2</v>
      </c>
      <c r="N6" s="225">
        <f>97/200</f>
        <v>0.48499999999999999</v>
      </c>
      <c r="O6" s="211">
        <f>28/300</f>
        <v>9.3333333333333338E-2</v>
      </c>
      <c r="P6" s="172">
        <f t="shared" si="0"/>
        <v>3.9122222222222223</v>
      </c>
      <c r="Q6" s="172">
        <f>P6*1.1</f>
        <v>4.3034444444444446</v>
      </c>
      <c r="R6" s="177" t="s">
        <v>103</v>
      </c>
    </row>
    <row r="7" spans="1:18" ht="15.95" customHeight="1" x14ac:dyDescent="0.2">
      <c r="A7" s="208" t="s">
        <v>388</v>
      </c>
      <c r="B7" s="209">
        <v>171</v>
      </c>
      <c r="C7" s="241">
        <v>8</v>
      </c>
      <c r="D7" s="220">
        <f>198/600</f>
        <v>0.33</v>
      </c>
      <c r="E7" s="220">
        <f>82/600</f>
        <v>0.13666666666666666</v>
      </c>
      <c r="F7" s="212">
        <v>0</v>
      </c>
      <c r="G7" s="211">
        <f>40/140</f>
        <v>0.2857142857142857</v>
      </c>
      <c r="H7" s="211">
        <f>11/24</f>
        <v>0.45833333333333331</v>
      </c>
      <c r="I7" s="211">
        <f>138/400</f>
        <v>0.34499999999999997</v>
      </c>
      <c r="J7" s="172">
        <f>255/500</f>
        <v>0.51</v>
      </c>
      <c r="K7" s="211">
        <f>11/36</f>
        <v>0.30555555555555558</v>
      </c>
      <c r="L7" s="211">
        <f>143/300</f>
        <v>0.47666666666666668</v>
      </c>
      <c r="M7" s="172">
        <f>25/200</f>
        <v>0.125</v>
      </c>
      <c r="N7" s="172">
        <f>100/200</f>
        <v>0.5</v>
      </c>
      <c r="O7" s="212">
        <v>0</v>
      </c>
      <c r="P7" s="172">
        <f t="shared" si="0"/>
        <v>3.4729365079365078</v>
      </c>
      <c r="Q7" s="172">
        <f>P7*1.2</f>
        <v>4.167523809523809</v>
      </c>
      <c r="R7" s="177" t="s">
        <v>103</v>
      </c>
    </row>
    <row r="8" spans="1:18" ht="15.95" customHeight="1" x14ac:dyDescent="0.2">
      <c r="A8" s="208" t="s">
        <v>372</v>
      </c>
      <c r="B8" s="224" t="s">
        <v>6</v>
      </c>
      <c r="C8" s="241">
        <v>10</v>
      </c>
      <c r="D8" s="220">
        <f>190/600</f>
        <v>0.31666666666666665</v>
      </c>
      <c r="E8" s="220">
        <f>124/600</f>
        <v>0.20666666666666667</v>
      </c>
      <c r="F8" s="211">
        <f>6/80</f>
        <v>7.4999999999999997E-2</v>
      </c>
      <c r="G8" s="212">
        <v>0</v>
      </c>
      <c r="H8" s="172">
        <f>14/24</f>
        <v>0.58333333333333337</v>
      </c>
      <c r="I8" s="173">
        <f>310/400</f>
        <v>0.77500000000000002</v>
      </c>
      <c r="J8" s="172">
        <f>280/500</f>
        <v>0.56000000000000005</v>
      </c>
      <c r="K8" s="181">
        <v>0</v>
      </c>
      <c r="L8" s="191">
        <f>100/300</f>
        <v>0.33333333333333331</v>
      </c>
      <c r="M8" s="172">
        <f>30/200</f>
        <v>0.15</v>
      </c>
      <c r="N8" s="191">
        <f>36/200</f>
        <v>0.18</v>
      </c>
      <c r="O8" s="191">
        <f>48/300</f>
        <v>0.16</v>
      </c>
      <c r="P8" s="172">
        <f t="shared" si="0"/>
        <v>3.3400000000000003</v>
      </c>
      <c r="Q8" s="172">
        <f>P8*1.1</f>
        <v>3.6740000000000008</v>
      </c>
      <c r="R8" s="177" t="s">
        <v>103</v>
      </c>
    </row>
    <row r="9" spans="1:18" ht="15.95" customHeight="1" x14ac:dyDescent="0.2">
      <c r="A9" s="228" t="s">
        <v>368</v>
      </c>
      <c r="B9" s="224">
        <v>171</v>
      </c>
      <c r="C9" s="241">
        <v>11</v>
      </c>
      <c r="D9" s="220">
        <f>298/600</f>
        <v>0.49666666666666665</v>
      </c>
      <c r="E9" s="220">
        <f>180/600</f>
        <v>0.3</v>
      </c>
      <c r="F9" s="212">
        <v>0</v>
      </c>
      <c r="G9" s="211">
        <f>25/140</f>
        <v>0.17857142857142858</v>
      </c>
      <c r="H9" s="172">
        <f>1/24</f>
        <v>4.1666666666666664E-2</v>
      </c>
      <c r="I9" s="172">
        <f>250/400</f>
        <v>0.625</v>
      </c>
      <c r="J9" s="172">
        <f>335/500</f>
        <v>0.67</v>
      </c>
      <c r="K9" s="172">
        <f>6/36</f>
        <v>0.16666666666666666</v>
      </c>
      <c r="L9" s="172">
        <f>154/300</f>
        <v>0.51333333333333331</v>
      </c>
      <c r="M9" s="212">
        <v>0</v>
      </c>
      <c r="N9" s="191">
        <f>24/200</f>
        <v>0.12</v>
      </c>
      <c r="O9" s="212">
        <v>0</v>
      </c>
      <c r="P9" s="172">
        <f t="shared" si="0"/>
        <v>3.111904761904762</v>
      </c>
      <c r="Q9" s="172">
        <f>P9</f>
        <v>3.111904761904762</v>
      </c>
      <c r="R9" s="242"/>
    </row>
    <row r="10" spans="1:18" ht="15.95" customHeight="1" x14ac:dyDescent="0.2">
      <c r="A10" s="222" t="s">
        <v>389</v>
      </c>
      <c r="B10" s="223">
        <v>171</v>
      </c>
      <c r="C10" s="212">
        <v>9</v>
      </c>
      <c r="D10" s="211">
        <f>201/600</f>
        <v>0.33500000000000002</v>
      </c>
      <c r="E10" s="211">
        <f>232/600</f>
        <v>0.38666666666666666</v>
      </c>
      <c r="F10" s="212">
        <v>0</v>
      </c>
      <c r="G10" s="212">
        <v>0</v>
      </c>
      <c r="H10" s="172">
        <f>3/24</f>
        <v>0.125</v>
      </c>
      <c r="I10" s="172">
        <f>232/400</f>
        <v>0.57999999999999996</v>
      </c>
      <c r="J10" s="172">
        <f>225/500</f>
        <v>0.45</v>
      </c>
      <c r="K10" s="181">
        <v>0</v>
      </c>
      <c r="L10" s="181">
        <v>0</v>
      </c>
      <c r="M10" s="172">
        <f>25/200</f>
        <v>0.125</v>
      </c>
      <c r="N10" s="211">
        <f>16/200</f>
        <v>0.08</v>
      </c>
      <c r="O10" s="211">
        <f>4/300</f>
        <v>1.3333333333333334E-2</v>
      </c>
      <c r="P10" s="172">
        <f t="shared" si="0"/>
        <v>2.0950000000000002</v>
      </c>
      <c r="Q10" s="172">
        <f>P10*1.2</f>
        <v>2.5140000000000002</v>
      </c>
      <c r="R10" s="177" t="s">
        <v>103</v>
      </c>
    </row>
    <row r="11" spans="1:18" ht="15.95" customHeight="1" x14ac:dyDescent="0.2">
      <c r="A11" s="208" t="s">
        <v>390</v>
      </c>
      <c r="B11" s="209">
        <v>171</v>
      </c>
      <c r="C11" s="241">
        <v>10</v>
      </c>
      <c r="D11" s="220">
        <f>238/600</f>
        <v>0.39666666666666667</v>
      </c>
      <c r="E11" s="220">
        <f>166/600</f>
        <v>0.27666666666666667</v>
      </c>
      <c r="F11" s="211">
        <f>12/80</f>
        <v>0.15</v>
      </c>
      <c r="G11" s="212">
        <v>0</v>
      </c>
      <c r="H11" s="211">
        <f>11/24</f>
        <v>0.45833333333333331</v>
      </c>
      <c r="I11" s="211">
        <f>191/400</f>
        <v>0.47749999999999998</v>
      </c>
      <c r="J11" s="172">
        <f>125/500</f>
        <v>0.25</v>
      </c>
      <c r="K11" s="221">
        <f>1/36</f>
        <v>2.7777777777777776E-2</v>
      </c>
      <c r="L11" s="211">
        <f>60/300</f>
        <v>0.2</v>
      </c>
      <c r="M11" s="211">
        <f>5/200</f>
        <v>2.5000000000000001E-2</v>
      </c>
      <c r="N11" s="181">
        <v>0</v>
      </c>
      <c r="O11" s="181">
        <v>0</v>
      </c>
      <c r="P11" s="172">
        <f t="shared" si="0"/>
        <v>2.2619444444444445</v>
      </c>
      <c r="Q11" s="172">
        <f>P11*1.1</f>
        <v>2.4881388888888893</v>
      </c>
      <c r="R11" s="177"/>
    </row>
    <row r="12" spans="1:18" ht="15.95" customHeight="1" x14ac:dyDescent="0.2">
      <c r="A12" s="208" t="s">
        <v>391</v>
      </c>
      <c r="B12" s="223" t="s">
        <v>137</v>
      </c>
      <c r="C12" s="241">
        <v>8</v>
      </c>
      <c r="D12" s="211">
        <f>302/600</f>
        <v>0.5033333333333333</v>
      </c>
      <c r="E12" s="211">
        <f>58/600</f>
        <v>9.6666666666666665E-2</v>
      </c>
      <c r="F12" s="211">
        <f>3/80</f>
        <v>3.7499999999999999E-2</v>
      </c>
      <c r="G12" s="212">
        <v>0</v>
      </c>
      <c r="H12" s="181">
        <v>0</v>
      </c>
      <c r="I12" s="172">
        <f>85/400</f>
        <v>0.21249999999999999</v>
      </c>
      <c r="J12" s="172">
        <f>320/500</f>
        <v>0.64</v>
      </c>
      <c r="K12" s="172">
        <f>2/36</f>
        <v>5.5555555555555552E-2</v>
      </c>
      <c r="L12" s="172">
        <f>9/300</f>
        <v>0.03</v>
      </c>
      <c r="M12" s="172">
        <f>25/200</f>
        <v>0.125</v>
      </c>
      <c r="N12" s="181">
        <v>0</v>
      </c>
      <c r="O12" s="172">
        <f>35/300</f>
        <v>0.11666666666666667</v>
      </c>
      <c r="P12" s="172">
        <f t="shared" si="0"/>
        <v>1.8172222222222223</v>
      </c>
      <c r="Q12" s="172">
        <f>P12*1.2</f>
        <v>2.1806666666666668</v>
      </c>
      <c r="R12" s="242"/>
    </row>
    <row r="13" spans="1:18" ht="15.95" customHeight="1" x14ac:dyDescent="0.2">
      <c r="A13" s="222" t="s">
        <v>392</v>
      </c>
      <c r="B13" s="209" t="s">
        <v>6</v>
      </c>
      <c r="C13" s="212">
        <v>11</v>
      </c>
      <c r="D13" s="211">
        <f>278/600</f>
        <v>0.46333333333333332</v>
      </c>
      <c r="E13" s="211">
        <f>98/600</f>
        <v>0.16333333333333333</v>
      </c>
      <c r="F13" s="212">
        <v>0</v>
      </c>
      <c r="G13" s="212">
        <v>0</v>
      </c>
      <c r="H13" s="212">
        <v>0</v>
      </c>
      <c r="I13" s="191">
        <f>267/400</f>
        <v>0.66749999999999998</v>
      </c>
      <c r="J13" s="191">
        <f>230/500</f>
        <v>0.46</v>
      </c>
      <c r="K13" s="191">
        <f>4/36</f>
        <v>0.1111111111111111</v>
      </c>
      <c r="L13" s="212">
        <v>0</v>
      </c>
      <c r="M13" s="191">
        <f>15/200</f>
        <v>7.4999999999999997E-2</v>
      </c>
      <c r="N13" s="225">
        <f>16/200</f>
        <v>0.08</v>
      </c>
      <c r="O13" s="191">
        <f>25/300</f>
        <v>8.3333333333333329E-2</v>
      </c>
      <c r="P13" s="172">
        <f t="shared" si="0"/>
        <v>2.1036111111111113</v>
      </c>
      <c r="Q13" s="172">
        <f>P13</f>
        <v>2.1036111111111113</v>
      </c>
      <c r="R13" s="177"/>
    </row>
    <row r="14" spans="1:18" ht="15.95" customHeight="1" x14ac:dyDescent="0.2">
      <c r="A14" s="208" t="s">
        <v>393</v>
      </c>
      <c r="B14" s="224" t="s">
        <v>6</v>
      </c>
      <c r="C14" s="226">
        <v>9</v>
      </c>
      <c r="D14" s="225">
        <f>278/600</f>
        <v>0.46333333333333332</v>
      </c>
      <c r="E14" s="225">
        <f>56/600</f>
        <v>9.3333333333333338E-2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0</v>
      </c>
      <c r="M14" s="212">
        <v>0</v>
      </c>
      <c r="N14" s="212">
        <v>0</v>
      </c>
      <c r="O14" s="212">
        <v>0</v>
      </c>
      <c r="P14" s="172">
        <f t="shared" si="0"/>
        <v>0.55666666666666664</v>
      </c>
      <c r="Q14" s="172">
        <f>P14*1.2</f>
        <v>0.66799999999999993</v>
      </c>
      <c r="R14" s="242"/>
    </row>
    <row r="15" spans="1:18" ht="15.95" customHeight="1" x14ac:dyDescent="0.2">
      <c r="A15" s="228" t="s">
        <v>394</v>
      </c>
      <c r="B15" s="243" t="s">
        <v>6</v>
      </c>
      <c r="C15" s="212">
        <v>9</v>
      </c>
      <c r="D15" s="211">
        <f>158/600</f>
        <v>0.26333333333333331</v>
      </c>
      <c r="E15" s="211">
        <f>122/600</f>
        <v>0.20333333333333334</v>
      </c>
      <c r="F15" s="212">
        <v>0</v>
      </c>
      <c r="G15" s="212">
        <v>0</v>
      </c>
      <c r="H15" s="212">
        <v>0</v>
      </c>
      <c r="I15" s="181">
        <v>0</v>
      </c>
      <c r="J15" s="181">
        <v>0</v>
      </c>
      <c r="K15" s="181">
        <v>0</v>
      </c>
      <c r="L15" s="181">
        <v>0</v>
      </c>
      <c r="M15" s="181">
        <v>0</v>
      </c>
      <c r="N15" s="181">
        <v>0</v>
      </c>
      <c r="O15" s="181">
        <v>0</v>
      </c>
      <c r="P15" s="172">
        <f t="shared" si="0"/>
        <v>0.46666666666666667</v>
      </c>
      <c r="Q15" s="172">
        <f>P15*1.2</f>
        <v>0.55999999999999994</v>
      </c>
      <c r="R15" s="242"/>
    </row>
    <row r="16" spans="1:18" ht="15.75" x14ac:dyDescent="0.25">
      <c r="A16" s="118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34"/>
      <c r="P16" s="202"/>
      <c r="Q16" s="202"/>
      <c r="R16" s="202"/>
    </row>
    <row r="17" spans="1:18" ht="15.75" x14ac:dyDescent="0.25">
      <c r="A17" s="118" t="s">
        <v>369</v>
      </c>
      <c r="B17" s="120"/>
      <c r="C17" s="120"/>
      <c r="D17" s="120"/>
      <c r="E17" s="120"/>
      <c r="F17" s="120"/>
      <c r="G17" s="120"/>
      <c r="H17" s="235"/>
      <c r="I17" s="235"/>
      <c r="J17" s="235"/>
      <c r="K17" s="235"/>
      <c r="L17" s="235"/>
      <c r="M17" s="235"/>
      <c r="N17" s="235"/>
      <c r="O17" s="236"/>
      <c r="P17" s="120"/>
      <c r="Q17" s="120"/>
      <c r="R17" s="120"/>
    </row>
    <row r="18" spans="1:18" ht="15.75" x14ac:dyDescent="0.25">
      <c r="A18" s="118" t="s">
        <v>395</v>
      </c>
      <c r="B18" s="120"/>
      <c r="C18" s="120"/>
      <c r="D18" s="120"/>
      <c r="E18" s="120"/>
      <c r="F18" s="120"/>
      <c r="G18" s="120"/>
      <c r="H18" s="235"/>
      <c r="I18" s="235"/>
      <c r="J18" s="235"/>
      <c r="K18" s="235"/>
      <c r="L18" s="235"/>
      <c r="M18" s="235"/>
      <c r="N18" s="235"/>
      <c r="O18" s="236"/>
      <c r="P18" s="120"/>
      <c r="Q18" s="120"/>
      <c r="R18" s="120"/>
    </row>
    <row r="19" spans="1:18" ht="15.75" x14ac:dyDescent="0.25">
      <c r="A19" s="118"/>
      <c r="B19" s="120"/>
      <c r="C19" s="120"/>
      <c r="D19" s="120"/>
      <c r="E19" s="120"/>
      <c r="F19" s="120"/>
      <c r="G19" s="120"/>
      <c r="H19" s="235"/>
      <c r="I19" s="235"/>
      <c r="J19" s="235"/>
      <c r="K19" s="235"/>
      <c r="L19" s="235"/>
      <c r="M19" s="235"/>
      <c r="N19" s="235"/>
      <c r="O19" s="236"/>
      <c r="P19" s="120"/>
      <c r="Q19" s="120"/>
      <c r="R19" s="120"/>
    </row>
    <row r="20" spans="1:18" ht="15.75" x14ac:dyDescent="0.25">
      <c r="A20" s="118" t="s">
        <v>348</v>
      </c>
      <c r="B20" s="120"/>
      <c r="C20" s="120"/>
      <c r="D20" s="120"/>
      <c r="E20" s="120"/>
      <c r="F20" s="120"/>
      <c r="G20" s="120"/>
      <c r="H20" s="235"/>
      <c r="I20" s="235"/>
      <c r="J20" s="235"/>
      <c r="K20" s="235"/>
      <c r="L20" s="235"/>
      <c r="M20" s="235"/>
      <c r="N20" s="235"/>
      <c r="O20" s="236"/>
      <c r="P20" s="120"/>
      <c r="Q20" s="120"/>
      <c r="R20" s="120"/>
    </row>
    <row r="21" spans="1:18" ht="15.75" x14ac:dyDescent="0.25">
      <c r="A21" s="119" t="s">
        <v>349</v>
      </c>
      <c r="B21" s="120"/>
      <c r="C21" s="120"/>
      <c r="D21" s="120"/>
      <c r="E21" s="120"/>
      <c r="F21" s="120"/>
      <c r="G21" s="120"/>
      <c r="H21" s="235"/>
      <c r="I21" s="235"/>
      <c r="J21" s="235"/>
      <c r="K21" s="235"/>
      <c r="L21" s="235"/>
      <c r="M21" s="235"/>
      <c r="N21" s="235"/>
      <c r="O21" s="236"/>
      <c r="P21" s="120"/>
      <c r="Q21" s="120"/>
      <c r="R21" s="120" t="s">
        <v>237</v>
      </c>
    </row>
    <row r="22" spans="1:18" ht="15.75" x14ac:dyDescent="0.25">
      <c r="A22" s="118"/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</row>
    <row r="23" spans="1:18" ht="15.75" x14ac:dyDescent="0.25">
      <c r="A23" s="118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</row>
    <row r="24" spans="1:18" ht="15.75" x14ac:dyDescent="0.25">
      <c r="A24" s="118"/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</row>
    <row r="25" spans="1:18" ht="15.75" x14ac:dyDescent="0.25">
      <c r="A25" s="118"/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</row>
  </sheetData>
  <pageMargins left="0.7" right="0.7" top="0.75" bottom="0.75" header="0.51180555555555496" footer="0.51180555555555496"/>
  <pageSetup firstPageNumber="0" orientation="portrait" horizontalDpi="300" verticalDpi="300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zoomScaleNormal="100" workbookViewId="0">
      <selection activeCell="I4" sqref="I4"/>
    </sheetView>
  </sheetViews>
  <sheetFormatPr defaultColWidth="8.7109375" defaultRowHeight="12.75" x14ac:dyDescent="0.2"/>
  <cols>
    <col min="1" max="1" width="34.140625" customWidth="1"/>
    <col min="2" max="2" width="4.5703125" customWidth="1"/>
    <col min="3" max="3" width="3.85546875" customWidth="1"/>
    <col min="4" max="11" width="6.7109375" customWidth="1"/>
  </cols>
  <sheetData>
    <row r="1" spans="1:12" ht="16.5" customHeight="1" x14ac:dyDescent="0.2">
      <c r="A1" s="158" t="s">
        <v>119</v>
      </c>
      <c r="B1" s="203" t="s">
        <v>2</v>
      </c>
      <c r="C1" s="204" t="s">
        <v>1</v>
      </c>
      <c r="D1" s="205" t="s">
        <v>351</v>
      </c>
      <c r="E1" s="205" t="s">
        <v>352</v>
      </c>
      <c r="F1" s="206">
        <v>1</v>
      </c>
      <c r="G1" s="207" t="s">
        <v>396</v>
      </c>
      <c r="H1" s="161">
        <v>3</v>
      </c>
      <c r="I1" s="161">
        <v>4</v>
      </c>
      <c r="J1" s="170" t="s">
        <v>397</v>
      </c>
      <c r="K1" s="161" t="s">
        <v>3</v>
      </c>
      <c r="L1" s="244" t="s">
        <v>4</v>
      </c>
    </row>
    <row r="2" spans="1:12" ht="16.5" customHeight="1" x14ac:dyDescent="0.25">
      <c r="A2" s="245" t="s">
        <v>398</v>
      </c>
      <c r="B2" s="246" t="s">
        <v>141</v>
      </c>
      <c r="C2" s="247">
        <v>11</v>
      </c>
      <c r="D2" s="248">
        <f>560/600</f>
        <v>0.93333333333333335</v>
      </c>
      <c r="E2" s="249">
        <f>76/600</f>
        <v>0.12666666666666668</v>
      </c>
      <c r="F2" s="250">
        <f>230/400</f>
        <v>0.57499999999999996</v>
      </c>
      <c r="G2" s="211">
        <f t="shared" ref="G2:G9" si="0">8/29</f>
        <v>0.27586206896551724</v>
      </c>
      <c r="H2" s="251">
        <f>240/400</f>
        <v>0.6</v>
      </c>
      <c r="I2" s="252">
        <v>1</v>
      </c>
      <c r="J2" s="172">
        <f t="shared" ref="J2:J19" si="1">SUM(D2:I2)-MIN(D2:I2)</f>
        <v>3.3841954022988507</v>
      </c>
      <c r="K2" s="253">
        <f>J2</f>
        <v>3.3841954022988507</v>
      </c>
      <c r="L2" s="254" t="s">
        <v>103</v>
      </c>
    </row>
    <row r="3" spans="1:12" ht="16.5" customHeight="1" x14ac:dyDescent="0.25">
      <c r="A3" s="245" t="s">
        <v>399</v>
      </c>
      <c r="B3" s="255">
        <v>171</v>
      </c>
      <c r="C3" s="247">
        <v>9</v>
      </c>
      <c r="D3" s="256">
        <f>560/600</f>
        <v>0.93333333333333335</v>
      </c>
      <c r="E3" s="220">
        <f>108/600</f>
        <v>0.18</v>
      </c>
      <c r="F3" s="248">
        <f>340/400</f>
        <v>0.85</v>
      </c>
      <c r="G3" s="211">
        <f t="shared" si="0"/>
        <v>0.27586206896551724</v>
      </c>
      <c r="H3" s="211">
        <f>220/400</f>
        <v>0.55000000000000004</v>
      </c>
      <c r="I3" s="250">
        <v>0</v>
      </c>
      <c r="J3" s="172">
        <f t="shared" si="1"/>
        <v>2.7891954022988505</v>
      </c>
      <c r="K3" s="257">
        <f>J3*1.2</f>
        <v>3.3470344827586205</v>
      </c>
      <c r="L3" s="254" t="s">
        <v>103</v>
      </c>
    </row>
    <row r="4" spans="1:12" ht="16.5" customHeight="1" x14ac:dyDescent="0.25">
      <c r="A4" s="245" t="s">
        <v>390</v>
      </c>
      <c r="B4" s="255">
        <v>171</v>
      </c>
      <c r="C4" s="247">
        <v>11</v>
      </c>
      <c r="D4" s="258">
        <f>520/600</f>
        <v>0.8666666666666667</v>
      </c>
      <c r="E4" s="225">
        <f>416/600</f>
        <v>0.69333333333333336</v>
      </c>
      <c r="F4" s="248">
        <f>340/400</f>
        <v>0.85</v>
      </c>
      <c r="G4" s="211">
        <f t="shared" si="0"/>
        <v>0.27586206896551724</v>
      </c>
      <c r="H4" s="211">
        <f>120/400</f>
        <v>0.3</v>
      </c>
      <c r="I4" s="211">
        <f>10/200</f>
        <v>0.05</v>
      </c>
      <c r="J4" s="172">
        <f t="shared" si="1"/>
        <v>2.9858620689655173</v>
      </c>
      <c r="K4" s="253">
        <f>J4</f>
        <v>2.9858620689655173</v>
      </c>
      <c r="L4" s="254" t="s">
        <v>103</v>
      </c>
    </row>
    <row r="5" spans="1:12" ht="16.5" customHeight="1" x14ac:dyDescent="0.25">
      <c r="A5" s="259" t="s">
        <v>387</v>
      </c>
      <c r="B5" s="255">
        <v>208</v>
      </c>
      <c r="C5" s="260">
        <v>11</v>
      </c>
      <c r="D5" s="248">
        <f>560/600</f>
        <v>0.93333333333333335</v>
      </c>
      <c r="E5" s="211">
        <f>180/600</f>
        <v>0.3</v>
      </c>
      <c r="F5" s="248">
        <f>340/400</f>
        <v>0.85</v>
      </c>
      <c r="G5" s="211">
        <f t="shared" si="0"/>
        <v>0.27586206896551724</v>
      </c>
      <c r="H5" s="211">
        <f>220/400</f>
        <v>0.55000000000000004</v>
      </c>
      <c r="I5" s="212">
        <v>0</v>
      </c>
      <c r="J5" s="172">
        <f t="shared" si="1"/>
        <v>2.9091954022988507</v>
      </c>
      <c r="K5" s="253">
        <f>J5</f>
        <v>2.9091954022988507</v>
      </c>
      <c r="L5" s="254"/>
    </row>
    <row r="6" spans="1:12" ht="16.5" customHeight="1" x14ac:dyDescent="0.25">
      <c r="A6" s="259" t="s">
        <v>394</v>
      </c>
      <c r="B6" s="255" t="s">
        <v>6</v>
      </c>
      <c r="C6" s="260">
        <v>10</v>
      </c>
      <c r="D6" s="256">
        <f>560/600</f>
        <v>0.93333333333333335</v>
      </c>
      <c r="E6" s="220">
        <f>288/600</f>
        <v>0.48</v>
      </c>
      <c r="F6" s="211">
        <f>20/400</f>
        <v>0.05</v>
      </c>
      <c r="G6" s="211">
        <f t="shared" si="0"/>
        <v>0.27586206896551724</v>
      </c>
      <c r="H6" s="211">
        <f>150/400</f>
        <v>0.375</v>
      </c>
      <c r="I6" s="250">
        <f>5/200</f>
        <v>2.5000000000000001E-2</v>
      </c>
      <c r="J6" s="172">
        <f t="shared" si="1"/>
        <v>2.1141954022988507</v>
      </c>
      <c r="K6" s="257">
        <f>J6*1.1</f>
        <v>2.3256149425287358</v>
      </c>
      <c r="L6" s="254" t="s">
        <v>103</v>
      </c>
    </row>
    <row r="7" spans="1:12" ht="16.5" customHeight="1" x14ac:dyDescent="0.25">
      <c r="A7" s="259" t="s">
        <v>391</v>
      </c>
      <c r="B7" s="255" t="s">
        <v>400</v>
      </c>
      <c r="C7" s="260">
        <v>9</v>
      </c>
      <c r="D7" s="211">
        <f>280/600</f>
        <v>0.46666666666666667</v>
      </c>
      <c r="E7" s="211">
        <f>88/600</f>
        <v>0.14666666666666667</v>
      </c>
      <c r="F7" s="211">
        <f>160/400</f>
        <v>0.4</v>
      </c>
      <c r="G7" s="211">
        <f t="shared" si="0"/>
        <v>0.27586206896551724</v>
      </c>
      <c r="H7" s="172">
        <f>200/400</f>
        <v>0.5</v>
      </c>
      <c r="I7" s="250">
        <f>5/200</f>
        <v>2.5000000000000001E-2</v>
      </c>
      <c r="J7" s="172">
        <f t="shared" si="1"/>
        <v>1.7891954022988505</v>
      </c>
      <c r="K7" s="257">
        <f>J7*1.2</f>
        <v>2.1470344827586207</v>
      </c>
      <c r="L7" s="254" t="s">
        <v>103</v>
      </c>
    </row>
    <row r="8" spans="1:12" ht="16.5" customHeight="1" x14ac:dyDescent="0.25">
      <c r="A8" s="245" t="s">
        <v>389</v>
      </c>
      <c r="B8" s="255" t="s">
        <v>401</v>
      </c>
      <c r="C8" s="247">
        <v>10</v>
      </c>
      <c r="D8" s="220">
        <f>280/600</f>
        <v>0.46666666666666667</v>
      </c>
      <c r="E8" s="220">
        <f>240/600</f>
        <v>0.4</v>
      </c>
      <c r="F8" s="211">
        <f>180/400</f>
        <v>0.45</v>
      </c>
      <c r="G8" s="211">
        <f t="shared" si="0"/>
        <v>0.27586206896551724</v>
      </c>
      <c r="H8" s="172">
        <f>140/400</f>
        <v>0.35</v>
      </c>
      <c r="I8" s="250">
        <v>0</v>
      </c>
      <c r="J8" s="172">
        <f t="shared" si="1"/>
        <v>1.9425287356321839</v>
      </c>
      <c r="K8" s="257">
        <f>J8*1.1</f>
        <v>2.1367816091954026</v>
      </c>
      <c r="L8" s="254" t="s">
        <v>103</v>
      </c>
    </row>
    <row r="9" spans="1:12" ht="16.5" customHeight="1" x14ac:dyDescent="0.25">
      <c r="A9" s="245" t="s">
        <v>385</v>
      </c>
      <c r="B9" s="247">
        <v>52</v>
      </c>
      <c r="C9" s="247">
        <v>11</v>
      </c>
      <c r="D9" s="261">
        <f>520/600</f>
        <v>0.8666666666666667</v>
      </c>
      <c r="E9" s="250">
        <f>72/600</f>
        <v>0.12</v>
      </c>
      <c r="F9" s="250">
        <f>110/400</f>
        <v>0.27500000000000002</v>
      </c>
      <c r="G9" s="211">
        <f t="shared" si="0"/>
        <v>0.27586206896551724</v>
      </c>
      <c r="H9" s="249">
        <f>80/400</f>
        <v>0.2</v>
      </c>
      <c r="I9" s="250">
        <f>100/200</f>
        <v>0.5</v>
      </c>
      <c r="J9" s="172">
        <f t="shared" si="1"/>
        <v>2.1175287356321837</v>
      </c>
      <c r="K9" s="253">
        <f>J9</f>
        <v>2.1175287356321837</v>
      </c>
      <c r="L9" s="254"/>
    </row>
    <row r="10" spans="1:12" ht="16.5" customHeight="1" x14ac:dyDescent="0.25">
      <c r="A10" s="262" t="s">
        <v>402</v>
      </c>
      <c r="B10" s="255">
        <v>197</v>
      </c>
      <c r="C10" s="263">
        <v>9</v>
      </c>
      <c r="D10" s="220">
        <v>0.33333333333333298</v>
      </c>
      <c r="E10" s="220">
        <f>104/600</f>
        <v>0.17333333333333334</v>
      </c>
      <c r="F10" s="250">
        <f>190/400</f>
        <v>0.47499999999999998</v>
      </c>
      <c r="G10" s="211">
        <f>6/29</f>
        <v>0.20689655172413793</v>
      </c>
      <c r="H10" s="172">
        <f>200/400</f>
        <v>0.5</v>
      </c>
      <c r="I10" s="251">
        <v>0</v>
      </c>
      <c r="J10" s="172">
        <f t="shared" si="1"/>
        <v>1.6885632183908044</v>
      </c>
      <c r="K10" s="257">
        <f>J10*1.2</f>
        <v>2.0262758620689652</v>
      </c>
      <c r="L10" s="254"/>
    </row>
    <row r="11" spans="1:12" ht="16.5" customHeight="1" x14ac:dyDescent="0.25">
      <c r="A11" s="259" t="s">
        <v>403</v>
      </c>
      <c r="B11" s="255" t="s">
        <v>6</v>
      </c>
      <c r="C11" s="260">
        <v>10</v>
      </c>
      <c r="D11" s="220">
        <f>440/600</f>
        <v>0.73333333333333328</v>
      </c>
      <c r="E11" s="220">
        <f>76/600</f>
        <v>0.12666666666666668</v>
      </c>
      <c r="F11" s="211">
        <f>240/400</f>
        <v>0.6</v>
      </c>
      <c r="G11" s="211">
        <f>6/29</f>
        <v>0.20689655172413793</v>
      </c>
      <c r="H11" s="211">
        <f>70/400</f>
        <v>0.17499999999999999</v>
      </c>
      <c r="I11" s="251">
        <v>0</v>
      </c>
      <c r="J11" s="172">
        <f t="shared" si="1"/>
        <v>1.8418965517241379</v>
      </c>
      <c r="K11" s="257">
        <f>J11*1.1</f>
        <v>2.0260862068965517</v>
      </c>
      <c r="L11" s="254"/>
    </row>
    <row r="12" spans="1:12" ht="16.5" customHeight="1" x14ac:dyDescent="0.25">
      <c r="A12" s="259" t="s">
        <v>372</v>
      </c>
      <c r="B12" s="264" t="s">
        <v>6</v>
      </c>
      <c r="C12" s="265">
        <v>11</v>
      </c>
      <c r="D12" s="266">
        <f>420/600</f>
        <v>0.7</v>
      </c>
      <c r="E12" s="266">
        <f>216/600</f>
        <v>0.36</v>
      </c>
      <c r="F12" s="266">
        <f>90/400</f>
        <v>0.22500000000000001</v>
      </c>
      <c r="G12" s="211">
        <f>8/29</f>
        <v>0.27586206896551724</v>
      </c>
      <c r="H12" s="267">
        <f>170/400</f>
        <v>0.42499999999999999</v>
      </c>
      <c r="I12" s="266">
        <f>20/200</f>
        <v>0.1</v>
      </c>
      <c r="J12" s="268">
        <f t="shared" si="1"/>
        <v>1.9858620689655173</v>
      </c>
      <c r="K12" s="269">
        <f>J12</f>
        <v>1.9858620689655173</v>
      </c>
      <c r="L12" s="270" t="s">
        <v>103</v>
      </c>
    </row>
    <row r="13" spans="1:12" ht="16.5" customHeight="1" x14ac:dyDescent="0.25">
      <c r="A13" s="245" t="s">
        <v>404</v>
      </c>
      <c r="B13" s="255">
        <v>171</v>
      </c>
      <c r="C13" s="247">
        <v>10</v>
      </c>
      <c r="D13" s="211">
        <f>275/600</f>
        <v>0.45833333333333331</v>
      </c>
      <c r="E13" s="211">
        <f>104/600</f>
        <v>0.17333333333333334</v>
      </c>
      <c r="F13" s="211">
        <f>210/400</f>
        <v>0.52500000000000002</v>
      </c>
      <c r="G13" s="211">
        <f>4/29</f>
        <v>0.13793103448275862</v>
      </c>
      <c r="H13" s="211">
        <f>130/400</f>
        <v>0.32500000000000001</v>
      </c>
      <c r="I13" s="250">
        <v>0</v>
      </c>
      <c r="J13" s="211">
        <f t="shared" si="1"/>
        <v>1.6195977011494254</v>
      </c>
      <c r="K13" s="211">
        <f>J13*1.1</f>
        <v>1.781557471264368</v>
      </c>
      <c r="L13" s="254"/>
    </row>
    <row r="14" spans="1:12" ht="16.5" customHeight="1" x14ac:dyDescent="0.25">
      <c r="A14" s="245" t="s">
        <v>405</v>
      </c>
      <c r="B14" s="247">
        <v>178</v>
      </c>
      <c r="C14" s="247">
        <v>10</v>
      </c>
      <c r="D14" s="220">
        <f>400/600</f>
        <v>0.66666666666666663</v>
      </c>
      <c r="E14" s="220">
        <f>24/600</f>
        <v>0.04</v>
      </c>
      <c r="F14" s="211">
        <f>130/400</f>
        <v>0.32500000000000001</v>
      </c>
      <c r="G14" s="211">
        <f>8/29</f>
        <v>0.27586206896551724</v>
      </c>
      <c r="H14" s="211">
        <f>50/400</f>
        <v>0.125</v>
      </c>
      <c r="I14" s="250">
        <v>0</v>
      </c>
      <c r="J14" s="211">
        <f t="shared" si="1"/>
        <v>1.4325287356321841</v>
      </c>
      <c r="K14" s="257">
        <f>J14*1.1</f>
        <v>1.5757816091954027</v>
      </c>
      <c r="L14" s="254"/>
    </row>
    <row r="15" spans="1:12" ht="16.5" customHeight="1" x14ac:dyDescent="0.25">
      <c r="A15" s="259" t="s">
        <v>406</v>
      </c>
      <c r="B15" s="255" t="s">
        <v>407</v>
      </c>
      <c r="C15" s="260">
        <v>10</v>
      </c>
      <c r="D15" s="211">
        <f>320/600</f>
        <v>0.53333333333333333</v>
      </c>
      <c r="E15" s="211">
        <f>64/600</f>
        <v>0.10666666666666667</v>
      </c>
      <c r="F15" s="211">
        <f>140/400</f>
        <v>0.35</v>
      </c>
      <c r="G15" s="211">
        <f>1/29</f>
        <v>3.4482758620689655E-2</v>
      </c>
      <c r="H15" s="211">
        <f>140/400</f>
        <v>0.35</v>
      </c>
      <c r="I15" s="250">
        <v>0</v>
      </c>
      <c r="J15" s="211">
        <f t="shared" si="1"/>
        <v>1.3744827586206898</v>
      </c>
      <c r="K15" s="257">
        <f>J15*1.1</f>
        <v>1.511931034482759</v>
      </c>
      <c r="L15" s="254"/>
    </row>
    <row r="16" spans="1:12" ht="16.5" customHeight="1" x14ac:dyDescent="0.25">
      <c r="A16" s="259" t="s">
        <v>408</v>
      </c>
      <c r="B16" s="255" t="s">
        <v>6</v>
      </c>
      <c r="C16" s="260">
        <v>10</v>
      </c>
      <c r="D16" s="211">
        <f>380/600</f>
        <v>0.6333333333333333</v>
      </c>
      <c r="E16" s="211">
        <f>48/600</f>
        <v>0.08</v>
      </c>
      <c r="F16" s="211">
        <f>190/400</f>
        <v>0.47499999999999998</v>
      </c>
      <c r="G16" s="250">
        <v>0</v>
      </c>
      <c r="H16" s="211">
        <f>50/400</f>
        <v>0.125</v>
      </c>
      <c r="I16" s="211">
        <f>10/200</f>
        <v>0.05</v>
      </c>
      <c r="J16" s="211">
        <f t="shared" si="1"/>
        <v>1.3633333333333333</v>
      </c>
      <c r="K16" s="257">
        <f>J16*1.1</f>
        <v>1.4996666666666667</v>
      </c>
      <c r="L16" s="254"/>
    </row>
    <row r="17" spans="1:12" ht="16.5" customHeight="1" x14ac:dyDescent="0.25">
      <c r="A17" s="259" t="s">
        <v>409</v>
      </c>
      <c r="B17" s="255" t="s">
        <v>6</v>
      </c>
      <c r="C17" s="260">
        <v>10</v>
      </c>
      <c r="D17" s="260">
        <f>300/600</f>
        <v>0.5</v>
      </c>
      <c r="E17" s="249">
        <f>104/600</f>
        <v>0.17333333333333334</v>
      </c>
      <c r="F17" s="250">
        <f>100/400</f>
        <v>0.25</v>
      </c>
      <c r="G17" s="211">
        <f>8/29</f>
        <v>0.27586206896551724</v>
      </c>
      <c r="H17" s="249">
        <f>30/400</f>
        <v>7.4999999999999997E-2</v>
      </c>
      <c r="I17" s="250">
        <v>0</v>
      </c>
      <c r="J17" s="211">
        <f t="shared" si="1"/>
        <v>1.2741954022988506</v>
      </c>
      <c r="K17" s="257">
        <f>J17*1.1</f>
        <v>1.4016149425287359</v>
      </c>
      <c r="L17" s="254"/>
    </row>
    <row r="18" spans="1:12" ht="16.5" customHeight="1" x14ac:dyDescent="0.25">
      <c r="A18" s="259" t="s">
        <v>410</v>
      </c>
      <c r="B18" s="255" t="s">
        <v>6</v>
      </c>
      <c r="C18" s="260">
        <v>9</v>
      </c>
      <c r="D18" s="211">
        <f>200/600</f>
        <v>0.33333333333333331</v>
      </c>
      <c r="E18" s="211">
        <f>56/600</f>
        <v>9.3333333333333338E-2</v>
      </c>
      <c r="F18" s="211">
        <f>5/400</f>
        <v>1.2500000000000001E-2</v>
      </c>
      <c r="G18" s="250">
        <v>0</v>
      </c>
      <c r="H18" s="225">
        <f>140/400</f>
        <v>0.35</v>
      </c>
      <c r="I18" s="250">
        <v>0</v>
      </c>
      <c r="J18" s="211">
        <f t="shared" si="1"/>
        <v>0.78916666666666657</v>
      </c>
      <c r="K18" s="257">
        <f>J18*1.2</f>
        <v>0.94699999999999984</v>
      </c>
      <c r="L18" s="254"/>
    </row>
    <row r="19" spans="1:12" ht="16.5" customHeight="1" x14ac:dyDescent="0.25">
      <c r="A19" s="259" t="s">
        <v>411</v>
      </c>
      <c r="B19" s="255" t="s">
        <v>6</v>
      </c>
      <c r="C19" s="260">
        <v>8</v>
      </c>
      <c r="D19" s="211">
        <f>290/600</f>
        <v>0.48333333333333334</v>
      </c>
      <c r="E19" s="211">
        <f>28/600</f>
        <v>4.6666666666666669E-2</v>
      </c>
      <c r="F19" s="250">
        <v>0</v>
      </c>
      <c r="G19" s="211">
        <f>4/29</f>
        <v>0.13793103448275862</v>
      </c>
      <c r="H19" s="225">
        <f>30/400</f>
        <v>7.4999999999999997E-2</v>
      </c>
      <c r="I19" s="250">
        <f>5/200</f>
        <v>2.5000000000000001E-2</v>
      </c>
      <c r="J19" s="211">
        <f t="shared" si="1"/>
        <v>0.76793103448275868</v>
      </c>
      <c r="K19" s="257">
        <f>J19*1.2</f>
        <v>0.92151724137931035</v>
      </c>
      <c r="L19" s="254"/>
    </row>
    <row r="20" spans="1:12" ht="16.5" customHeight="1" x14ac:dyDescent="0.25">
      <c r="A20" s="271"/>
      <c r="B20" s="272"/>
      <c r="C20" s="273"/>
      <c r="D20" s="273"/>
      <c r="E20" s="120"/>
      <c r="F20" s="120"/>
      <c r="G20" s="120"/>
      <c r="H20" s="235"/>
      <c r="I20" s="235"/>
      <c r="J20" s="274"/>
      <c r="K20" s="120"/>
    </row>
    <row r="21" spans="1:12" ht="16.5" customHeight="1" x14ac:dyDescent="0.25">
      <c r="A21" s="118"/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2" ht="16.5" customHeight="1" x14ac:dyDescent="0.25">
      <c r="A22" s="118"/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2" ht="16.5" customHeight="1" x14ac:dyDescent="0.25">
      <c r="A23" s="118"/>
      <c r="B23" s="202"/>
      <c r="C23" s="202"/>
      <c r="D23" s="202"/>
      <c r="E23" s="202"/>
      <c r="F23" s="202"/>
      <c r="G23" s="202"/>
      <c r="H23" s="202"/>
      <c r="I23" s="202"/>
      <c r="J23" s="202"/>
      <c r="K23" s="202"/>
    </row>
    <row r="24" spans="1:12" ht="16.5" customHeight="1" x14ac:dyDescent="0.25">
      <c r="A24" s="118"/>
      <c r="B24" s="202"/>
      <c r="C24" s="202"/>
      <c r="D24" s="202"/>
      <c r="E24" s="202"/>
      <c r="F24" s="202"/>
      <c r="G24" s="202"/>
      <c r="H24" s="202"/>
      <c r="I24" s="202"/>
      <c r="J24" s="202"/>
      <c r="K24" s="202"/>
    </row>
  </sheetData>
  <autoFilter ref="A1:L19">
    <sortState ref="A2:L19">
      <sortCondition descending="1" ref="A2:A19"/>
    </sortState>
  </autoFilter>
  <pageMargins left="0.7" right="0.7" top="0.75" bottom="0.75" header="0.51180555555555496" footer="0.51180555555555496"/>
  <pageSetup paperSize="9" firstPageNumber="0" orientation="landscape" horizontalDpi="300" verticalDpi="300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N13" sqref="N13"/>
    </sheetView>
  </sheetViews>
  <sheetFormatPr defaultColWidth="8.7109375" defaultRowHeight="12.75" x14ac:dyDescent="0.2"/>
  <cols>
    <col min="1" max="1" width="34.140625" customWidth="1"/>
    <col min="2" max="2" width="4" style="237" customWidth="1"/>
    <col min="3" max="3" width="3.85546875" style="237" customWidth="1"/>
    <col min="4" max="12" width="6.7109375" customWidth="1"/>
    <col min="14" max="15" width="6.7109375" customWidth="1"/>
  </cols>
  <sheetData>
    <row r="1" spans="1:16" ht="45" customHeight="1" x14ac:dyDescent="0.2">
      <c r="A1" s="158" t="s">
        <v>119</v>
      </c>
      <c r="B1" s="203" t="s">
        <v>2</v>
      </c>
      <c r="C1" s="204" t="s">
        <v>1</v>
      </c>
      <c r="D1" s="275" t="s">
        <v>351</v>
      </c>
      <c r="E1" s="275" t="s">
        <v>352</v>
      </c>
      <c r="F1" s="276" t="s">
        <v>326</v>
      </c>
      <c r="G1" s="277" t="s">
        <v>412</v>
      </c>
      <c r="H1" s="244" t="s">
        <v>413</v>
      </c>
      <c r="I1" s="244" t="s">
        <v>414</v>
      </c>
      <c r="J1" s="244" t="s">
        <v>415</v>
      </c>
      <c r="K1" s="244" t="s">
        <v>416</v>
      </c>
      <c r="L1" s="244" t="s">
        <v>417</v>
      </c>
      <c r="M1" s="244" t="s">
        <v>418</v>
      </c>
      <c r="N1" s="170" t="s">
        <v>397</v>
      </c>
      <c r="O1" s="161" t="s">
        <v>3</v>
      </c>
      <c r="P1" s="244" t="s">
        <v>4</v>
      </c>
    </row>
    <row r="2" spans="1:16" ht="16.5" customHeight="1" x14ac:dyDescent="0.25">
      <c r="A2" s="278" t="s">
        <v>388</v>
      </c>
      <c r="B2" s="246">
        <v>171</v>
      </c>
      <c r="C2" s="263">
        <v>10</v>
      </c>
      <c r="D2" s="279">
        <f>510/600</f>
        <v>0.85</v>
      </c>
      <c r="E2" s="280">
        <f>386/600</f>
        <v>0.64333333333333331</v>
      </c>
      <c r="F2" s="280">
        <f>42/82</f>
        <v>0.51219512195121952</v>
      </c>
      <c r="G2" s="211">
        <f>18/47</f>
        <v>0.38297872340425532</v>
      </c>
      <c r="H2" s="211">
        <f>24/51</f>
        <v>0.47058823529411764</v>
      </c>
      <c r="I2" s="211">
        <f>110/200</f>
        <v>0.55000000000000004</v>
      </c>
      <c r="J2" s="240">
        <f>170/200</f>
        <v>0.85</v>
      </c>
      <c r="K2" s="211">
        <f>140/200</f>
        <v>0.7</v>
      </c>
      <c r="L2" s="280">
        <f>440/600</f>
        <v>0.73333333333333328</v>
      </c>
      <c r="M2" s="280">
        <f>88/200</f>
        <v>0.44</v>
      </c>
      <c r="N2" s="221">
        <f t="shared" ref="N2:N20" si="0">SUM(D2:M2)-MIN(D2:M2)</f>
        <v>5.7494500239120043</v>
      </c>
      <c r="O2" s="253">
        <f>N2*1.1</f>
        <v>6.3243950263032049</v>
      </c>
      <c r="P2" s="281" t="s">
        <v>103</v>
      </c>
    </row>
    <row r="3" spans="1:16" ht="16.5" customHeight="1" x14ac:dyDescent="0.25">
      <c r="A3" s="282" t="s">
        <v>391</v>
      </c>
      <c r="B3" s="246" t="s">
        <v>400</v>
      </c>
      <c r="C3" s="260">
        <v>10</v>
      </c>
      <c r="D3" s="279">
        <f>570/600</f>
        <v>0.95</v>
      </c>
      <c r="E3" s="279">
        <f>474/600</f>
        <v>0.79</v>
      </c>
      <c r="F3" s="280">
        <f>20/82</f>
        <v>0.24390243902439024</v>
      </c>
      <c r="G3" s="211">
        <f>3/47</f>
        <v>6.3829787234042548E-2</v>
      </c>
      <c r="H3" s="211">
        <f>31/51</f>
        <v>0.60784313725490191</v>
      </c>
      <c r="I3" s="211">
        <f>105/200</f>
        <v>0.52500000000000002</v>
      </c>
      <c r="J3" s="211">
        <f>110/200</f>
        <v>0.55000000000000004</v>
      </c>
      <c r="K3" s="211">
        <f>30/200</f>
        <v>0.15</v>
      </c>
      <c r="L3" s="279">
        <f>592/600</f>
        <v>0.98666666666666669</v>
      </c>
      <c r="M3" s="280">
        <f>4/200</f>
        <v>0.02</v>
      </c>
      <c r="N3" s="221">
        <f t="shared" si="0"/>
        <v>4.8672420301800017</v>
      </c>
      <c r="O3" s="253">
        <f>N3*1.1</f>
        <v>5.353966233198002</v>
      </c>
      <c r="P3" s="281" t="s">
        <v>103</v>
      </c>
    </row>
    <row r="4" spans="1:16" ht="16.5" customHeight="1" x14ac:dyDescent="0.25">
      <c r="A4" s="283" t="s">
        <v>394</v>
      </c>
      <c r="B4" s="246" t="s">
        <v>6</v>
      </c>
      <c r="C4" s="246">
        <v>11</v>
      </c>
      <c r="D4" s="279">
        <f>550/600</f>
        <v>0.91666666666666663</v>
      </c>
      <c r="E4" s="280">
        <f>340/600</f>
        <v>0.56666666666666665</v>
      </c>
      <c r="F4" s="280">
        <f>40/82</f>
        <v>0.48780487804878048</v>
      </c>
      <c r="G4" s="211">
        <f>10/47</f>
        <v>0.21276595744680851</v>
      </c>
      <c r="H4" s="211">
        <f>24/51</f>
        <v>0.47058823529411764</v>
      </c>
      <c r="I4" s="211">
        <f>130/200</f>
        <v>0.65</v>
      </c>
      <c r="J4" s="211">
        <f>145/200</f>
        <v>0.72499999999999998</v>
      </c>
      <c r="K4" s="212">
        <v>0</v>
      </c>
      <c r="L4" s="280">
        <f>228/600</f>
        <v>0.38</v>
      </c>
      <c r="M4" s="280">
        <f>45/200</f>
        <v>0.22500000000000001</v>
      </c>
      <c r="N4" s="221">
        <f t="shared" si="0"/>
        <v>4.6344924041230398</v>
      </c>
      <c r="O4" s="253">
        <f>N4</f>
        <v>4.6344924041230398</v>
      </c>
      <c r="P4" s="281" t="s">
        <v>103</v>
      </c>
    </row>
    <row r="5" spans="1:16" ht="16.5" customHeight="1" x14ac:dyDescent="0.25">
      <c r="A5" s="278" t="s">
        <v>389</v>
      </c>
      <c r="B5" s="246" t="s">
        <v>401</v>
      </c>
      <c r="C5" s="263">
        <v>11</v>
      </c>
      <c r="D5" s="279">
        <f>550/600</f>
        <v>0.91666666666666663</v>
      </c>
      <c r="E5" s="280">
        <f>236/600</f>
        <v>0.39333333333333331</v>
      </c>
      <c r="F5" s="280">
        <f>52/82</f>
        <v>0.63414634146341464</v>
      </c>
      <c r="G5" s="211">
        <f>23/47</f>
        <v>0.48936170212765956</v>
      </c>
      <c r="H5" s="211">
        <f>20/51</f>
        <v>0.39215686274509803</v>
      </c>
      <c r="I5" s="211">
        <f>115/200</f>
        <v>0.57499999999999996</v>
      </c>
      <c r="J5" s="211">
        <f>110/200</f>
        <v>0.55000000000000004</v>
      </c>
      <c r="K5" s="284">
        <v>0</v>
      </c>
      <c r="L5" s="280">
        <f>252/600</f>
        <v>0.42</v>
      </c>
      <c r="M5" s="280">
        <f>52/200</f>
        <v>0.26</v>
      </c>
      <c r="N5" s="221">
        <f t="shared" si="0"/>
        <v>4.6306649063361718</v>
      </c>
      <c r="O5" s="253">
        <f>N5</f>
        <v>4.6306649063361718</v>
      </c>
      <c r="P5" s="281" t="s">
        <v>103</v>
      </c>
    </row>
    <row r="6" spans="1:16" ht="16.5" customHeight="1" x14ac:dyDescent="0.25">
      <c r="A6" s="285" t="s">
        <v>402</v>
      </c>
      <c r="B6" s="246" t="s">
        <v>146</v>
      </c>
      <c r="C6" s="229">
        <v>10</v>
      </c>
      <c r="D6" s="280">
        <f>350/600</f>
        <v>0.58333333333333337</v>
      </c>
      <c r="E6" s="280">
        <f>236/600</f>
        <v>0.39333333333333331</v>
      </c>
      <c r="F6" s="280">
        <f>36/82</f>
        <v>0.43902439024390244</v>
      </c>
      <c r="G6" s="211">
        <f>9/47</f>
        <v>0.19148936170212766</v>
      </c>
      <c r="H6" s="211">
        <f>1/51</f>
        <v>1.9607843137254902E-2</v>
      </c>
      <c r="I6" s="211">
        <f>20/200</f>
        <v>0.1</v>
      </c>
      <c r="J6" s="211">
        <f>15/200</f>
        <v>7.4999999999999997E-2</v>
      </c>
      <c r="K6" s="211">
        <f>85/200</f>
        <v>0.42499999999999999</v>
      </c>
      <c r="L6" s="280">
        <f>248/600</f>
        <v>0.41333333333333333</v>
      </c>
      <c r="M6" s="280">
        <f>38/200</f>
        <v>0.19</v>
      </c>
      <c r="N6" s="221">
        <f t="shared" si="0"/>
        <v>2.8105137519460297</v>
      </c>
      <c r="O6" s="253">
        <f>N6*1.1</f>
        <v>3.0915651271406328</v>
      </c>
      <c r="P6" s="281" t="s">
        <v>103</v>
      </c>
    </row>
    <row r="7" spans="1:16" ht="16.5" customHeight="1" x14ac:dyDescent="0.25">
      <c r="A7" s="286" t="s">
        <v>409</v>
      </c>
      <c r="B7" s="246" t="s">
        <v>6</v>
      </c>
      <c r="C7" s="246">
        <v>11</v>
      </c>
      <c r="D7" s="279">
        <f>450/600</f>
        <v>0.75</v>
      </c>
      <c r="E7" s="280">
        <f>216/600</f>
        <v>0.36</v>
      </c>
      <c r="F7" s="280">
        <f>20/82</f>
        <v>0.24390243902439024</v>
      </c>
      <c r="G7" s="211">
        <f>13/47</f>
        <v>0.27659574468085107</v>
      </c>
      <c r="H7" s="211">
        <f>9/51</f>
        <v>0.17647058823529413</v>
      </c>
      <c r="I7" s="211">
        <f>45/200</f>
        <v>0.22500000000000001</v>
      </c>
      <c r="J7" s="211">
        <f>15/200</f>
        <v>7.4999999999999997E-2</v>
      </c>
      <c r="K7" s="284">
        <v>0</v>
      </c>
      <c r="L7" s="280">
        <f>190/600</f>
        <v>0.31666666666666665</v>
      </c>
      <c r="M7" s="284">
        <v>0</v>
      </c>
      <c r="N7" s="221">
        <f t="shared" si="0"/>
        <v>2.4236354386072021</v>
      </c>
      <c r="O7" s="253">
        <f>N7</f>
        <v>2.4236354386072021</v>
      </c>
      <c r="P7" s="287" t="s">
        <v>419</v>
      </c>
    </row>
    <row r="8" spans="1:16" ht="16.5" customHeight="1" x14ac:dyDescent="0.25">
      <c r="A8" s="262" t="s">
        <v>420</v>
      </c>
      <c r="B8" s="246" t="s">
        <v>421</v>
      </c>
      <c r="C8" s="263">
        <v>10</v>
      </c>
      <c r="D8" s="280">
        <f>140/600</f>
        <v>0.23333333333333334</v>
      </c>
      <c r="E8" s="279">
        <f>450/600</f>
        <v>0.75</v>
      </c>
      <c r="F8" s="280">
        <f>38/82</f>
        <v>0.46341463414634149</v>
      </c>
      <c r="G8" s="211">
        <f>13/47</f>
        <v>0.27659574468085107</v>
      </c>
      <c r="H8" s="284">
        <v>0</v>
      </c>
      <c r="I8" s="211">
        <f>30/200</f>
        <v>0.15</v>
      </c>
      <c r="J8" s="284">
        <v>0</v>
      </c>
      <c r="K8" s="212">
        <v>0</v>
      </c>
      <c r="L8" s="280">
        <f>150/600</f>
        <v>0.25</v>
      </c>
      <c r="M8" s="212">
        <v>0</v>
      </c>
      <c r="N8" s="221">
        <f t="shared" si="0"/>
        <v>2.1233437121605259</v>
      </c>
      <c r="O8" s="253">
        <f>N8*1.1</f>
        <v>2.3356780833765787</v>
      </c>
      <c r="P8" s="254"/>
    </row>
    <row r="9" spans="1:16" ht="16.5" customHeight="1" x14ac:dyDescent="0.25">
      <c r="A9" s="288" t="s">
        <v>422</v>
      </c>
      <c r="B9" s="250">
        <v>182</v>
      </c>
      <c r="C9" s="250">
        <v>9</v>
      </c>
      <c r="D9" s="249">
        <f>300/600</f>
        <v>0.5</v>
      </c>
      <c r="E9" s="249">
        <f>118/600</f>
        <v>0.19666666666666666</v>
      </c>
      <c r="F9" s="249"/>
      <c r="G9" s="249"/>
      <c r="H9" s="249"/>
      <c r="I9" s="249"/>
      <c r="J9" s="249"/>
      <c r="K9" s="274">
        <f>110/200</f>
        <v>0.55000000000000004</v>
      </c>
      <c r="L9" s="280">
        <f>338/600</f>
        <v>0.56333333333333335</v>
      </c>
      <c r="M9" s="280">
        <f>200/300</f>
        <v>0.66666666666666663</v>
      </c>
      <c r="N9" s="221">
        <f t="shared" si="0"/>
        <v>2.2799999999999998</v>
      </c>
      <c r="O9" s="253">
        <f t="shared" ref="O9:O20" si="1">N9</f>
        <v>2.2799999999999998</v>
      </c>
      <c r="P9" s="281" t="s">
        <v>103</v>
      </c>
    </row>
    <row r="10" spans="1:16" ht="16.5" customHeight="1" x14ac:dyDescent="0.25">
      <c r="A10" s="262" t="s">
        <v>377</v>
      </c>
      <c r="B10" s="246">
        <v>171</v>
      </c>
      <c r="C10" s="246">
        <v>11</v>
      </c>
      <c r="D10" s="280">
        <f>170/600</f>
        <v>0.28333333333333333</v>
      </c>
      <c r="E10" s="280">
        <f>196/600</f>
        <v>0.32666666666666666</v>
      </c>
      <c r="F10" s="280">
        <f>9/82</f>
        <v>0.10975609756097561</v>
      </c>
      <c r="G10" s="211">
        <f>10/47</f>
        <v>0.21276595744680851</v>
      </c>
      <c r="H10" s="211">
        <f>11/51</f>
        <v>0.21568627450980393</v>
      </c>
      <c r="I10" s="211">
        <f>10/200</f>
        <v>0.05</v>
      </c>
      <c r="J10" s="284">
        <v>0</v>
      </c>
      <c r="K10" s="211">
        <f>40/200</f>
        <v>0.2</v>
      </c>
      <c r="L10" s="280">
        <f>204/600</f>
        <v>0.34</v>
      </c>
      <c r="M10" s="280">
        <f>38/200</f>
        <v>0.19</v>
      </c>
      <c r="N10" s="221">
        <f t="shared" si="0"/>
        <v>1.928208329517588</v>
      </c>
      <c r="O10" s="253">
        <f t="shared" si="1"/>
        <v>1.928208329517588</v>
      </c>
      <c r="P10" s="254"/>
    </row>
    <row r="11" spans="1:16" ht="16.5" customHeight="1" x14ac:dyDescent="0.25">
      <c r="A11" s="262" t="s">
        <v>423</v>
      </c>
      <c r="B11" s="246">
        <v>145</v>
      </c>
      <c r="C11" s="263">
        <v>11</v>
      </c>
      <c r="D11" s="280">
        <f>240/600</f>
        <v>0.4</v>
      </c>
      <c r="E11" s="280">
        <f>120/600</f>
        <v>0.2</v>
      </c>
      <c r="F11" s="280">
        <f>2/82</f>
        <v>2.4390243902439025E-2</v>
      </c>
      <c r="G11" s="211">
        <f>9/47</f>
        <v>0.19148936170212766</v>
      </c>
      <c r="H11" s="211">
        <f>12/51</f>
        <v>0.23529411764705882</v>
      </c>
      <c r="I11" s="284">
        <v>0</v>
      </c>
      <c r="J11" s="211">
        <f>10/200</f>
        <v>0.05</v>
      </c>
      <c r="K11" s="274">
        <f>30/200</f>
        <v>0.15</v>
      </c>
      <c r="L11" s="280">
        <f>66/600</f>
        <v>0.11</v>
      </c>
      <c r="M11" s="280">
        <f>28/200</f>
        <v>0.14000000000000001</v>
      </c>
      <c r="N11" s="289">
        <f t="shared" si="0"/>
        <v>1.5011737232516258</v>
      </c>
      <c r="O11" s="253">
        <f t="shared" si="1"/>
        <v>1.5011737232516258</v>
      </c>
      <c r="P11" s="270"/>
    </row>
    <row r="12" spans="1:16" ht="16.5" customHeight="1" x14ac:dyDescent="0.25">
      <c r="A12" s="259" t="s">
        <v>424</v>
      </c>
      <c r="B12" s="246">
        <v>178</v>
      </c>
      <c r="C12" s="290">
        <v>11</v>
      </c>
      <c r="D12" s="280">
        <f>420/600</f>
        <v>0.7</v>
      </c>
      <c r="E12" s="280">
        <f>236/600</f>
        <v>0.39333333333333331</v>
      </c>
      <c r="F12" s="280">
        <f>12/82</f>
        <v>0.14634146341463414</v>
      </c>
      <c r="G12" s="211">
        <f>4/47</f>
        <v>8.5106382978723402E-2</v>
      </c>
      <c r="H12" s="211">
        <f>1/51</f>
        <v>1.9607843137254902E-2</v>
      </c>
      <c r="I12" s="284">
        <v>0</v>
      </c>
      <c r="J12" s="211">
        <f>10/200</f>
        <v>0.05</v>
      </c>
      <c r="K12" s="284">
        <v>0</v>
      </c>
      <c r="L12" s="284">
        <v>0</v>
      </c>
      <c r="M12" s="280">
        <f>2/200</f>
        <v>0.01</v>
      </c>
      <c r="N12" s="291">
        <f t="shared" si="0"/>
        <v>1.4043890228639455</v>
      </c>
      <c r="O12" s="253">
        <f t="shared" si="1"/>
        <v>1.4043890228639455</v>
      </c>
      <c r="P12" s="254"/>
    </row>
    <row r="13" spans="1:16" ht="16.5" customHeight="1" x14ac:dyDescent="0.25">
      <c r="A13" s="283" t="s">
        <v>425</v>
      </c>
      <c r="B13" s="255" t="s">
        <v>6</v>
      </c>
      <c r="C13" s="246">
        <v>9</v>
      </c>
      <c r="D13" s="280">
        <f>130/600</f>
        <v>0.21666666666666667</v>
      </c>
      <c r="E13" s="280">
        <f>166/600</f>
        <v>0.27666666666666667</v>
      </c>
      <c r="F13" s="249"/>
      <c r="G13" s="249"/>
      <c r="H13" s="249"/>
      <c r="I13" s="249"/>
      <c r="J13" s="249"/>
      <c r="K13" s="211">
        <f>80/200</f>
        <v>0.4</v>
      </c>
      <c r="L13" s="284">
        <v>0</v>
      </c>
      <c r="M13" s="280">
        <f>150/300</f>
        <v>0.5</v>
      </c>
      <c r="N13" s="291">
        <f t="shared" si="0"/>
        <v>1.3933333333333333</v>
      </c>
      <c r="O13" s="253">
        <f t="shared" si="1"/>
        <v>1.3933333333333333</v>
      </c>
      <c r="P13" s="287" t="s">
        <v>419</v>
      </c>
    </row>
    <row r="14" spans="1:16" ht="16.5" customHeight="1" x14ac:dyDescent="0.25">
      <c r="A14" s="259" t="s">
        <v>426</v>
      </c>
      <c r="B14" s="246" t="s">
        <v>400</v>
      </c>
      <c r="C14" s="260">
        <v>9</v>
      </c>
      <c r="D14" s="249">
        <f>250/600</f>
        <v>0.41666666666666669</v>
      </c>
      <c r="E14" s="249">
        <f>102/600</f>
        <v>0.17</v>
      </c>
      <c r="F14" s="250"/>
      <c r="G14" s="250"/>
      <c r="H14" s="250"/>
      <c r="I14" s="250"/>
      <c r="J14" s="250"/>
      <c r="K14" s="211">
        <f>40/200</f>
        <v>0.2</v>
      </c>
      <c r="L14" s="280">
        <f>202/600</f>
        <v>0.33666666666666667</v>
      </c>
      <c r="M14" s="280">
        <f>87/300</f>
        <v>0.28999999999999998</v>
      </c>
      <c r="N14" s="291">
        <f t="shared" si="0"/>
        <v>1.2433333333333334</v>
      </c>
      <c r="O14" s="253">
        <f t="shared" si="1"/>
        <v>1.2433333333333334</v>
      </c>
      <c r="P14" s="254"/>
    </row>
    <row r="15" spans="1:16" ht="16.5" customHeight="1" x14ac:dyDescent="0.25">
      <c r="A15" s="292" t="s">
        <v>427</v>
      </c>
      <c r="B15" s="246" t="s">
        <v>6</v>
      </c>
      <c r="C15" s="246">
        <v>11</v>
      </c>
      <c r="D15" s="280">
        <f>250/600</f>
        <v>0.41666666666666669</v>
      </c>
      <c r="E15" s="280">
        <f>152/600</f>
        <v>0.25333333333333335</v>
      </c>
      <c r="F15" s="212">
        <v>0</v>
      </c>
      <c r="G15" s="211">
        <f>8/47</f>
        <v>0.1702127659574468</v>
      </c>
      <c r="H15" s="211">
        <f>10/51</f>
        <v>0.19607843137254902</v>
      </c>
      <c r="I15" s="211">
        <f>10/200</f>
        <v>0.05</v>
      </c>
      <c r="J15" s="284">
        <v>0</v>
      </c>
      <c r="K15" s="212">
        <v>0</v>
      </c>
      <c r="L15" s="212">
        <v>0</v>
      </c>
      <c r="M15" s="212">
        <v>0</v>
      </c>
      <c r="N15" s="291">
        <f t="shared" si="0"/>
        <v>1.086291197329996</v>
      </c>
      <c r="O15" s="253">
        <f t="shared" si="1"/>
        <v>1.086291197329996</v>
      </c>
      <c r="P15" s="254"/>
    </row>
    <row r="16" spans="1:16" ht="16.5" customHeight="1" x14ac:dyDescent="0.25">
      <c r="A16" s="293" t="s">
        <v>404</v>
      </c>
      <c r="B16" s="294">
        <v>171</v>
      </c>
      <c r="C16" s="295">
        <v>11</v>
      </c>
      <c r="D16" s="296">
        <f>350/600</f>
        <v>0.58333333333333337</v>
      </c>
      <c r="E16" s="297">
        <f>252/600</f>
        <v>0.42</v>
      </c>
      <c r="F16" s="298">
        <v>0</v>
      </c>
      <c r="G16" s="298">
        <v>0</v>
      </c>
      <c r="H16" s="298">
        <v>0</v>
      </c>
      <c r="I16" s="298">
        <v>0</v>
      </c>
      <c r="J16" s="298">
        <v>0</v>
      </c>
      <c r="K16" s="298">
        <v>0</v>
      </c>
      <c r="L16" s="284">
        <v>0</v>
      </c>
      <c r="M16" s="284">
        <v>0</v>
      </c>
      <c r="N16" s="299">
        <f t="shared" si="0"/>
        <v>1.0033333333333334</v>
      </c>
      <c r="O16" s="269">
        <f t="shared" si="1"/>
        <v>1.0033333333333334</v>
      </c>
      <c r="P16" s="270"/>
    </row>
    <row r="17" spans="1:16" ht="16.5" customHeight="1" x14ac:dyDescent="0.25">
      <c r="A17" s="262" t="s">
        <v>428</v>
      </c>
      <c r="B17" s="229">
        <v>194</v>
      </c>
      <c r="C17" s="246">
        <v>9</v>
      </c>
      <c r="D17" s="249">
        <f>250/600</f>
        <v>0.41666666666666669</v>
      </c>
      <c r="E17" s="249">
        <f>222/600</f>
        <v>0.37</v>
      </c>
      <c r="F17" s="250"/>
      <c r="G17" s="250"/>
      <c r="H17" s="250"/>
      <c r="I17" s="250"/>
      <c r="J17" s="250"/>
      <c r="K17" s="284">
        <v>0</v>
      </c>
      <c r="L17" s="280">
        <f>20/600</f>
        <v>3.3333333333333333E-2</v>
      </c>
      <c r="M17" s="212">
        <v>0</v>
      </c>
      <c r="N17" s="211">
        <f t="shared" si="0"/>
        <v>0.82</v>
      </c>
      <c r="O17" s="253">
        <f t="shared" si="1"/>
        <v>0.82</v>
      </c>
      <c r="P17" s="254"/>
    </row>
    <row r="18" spans="1:16" ht="16.5" customHeight="1" x14ac:dyDescent="0.25">
      <c r="A18" s="262" t="s">
        <v>406</v>
      </c>
      <c r="B18" s="246" t="s">
        <v>407</v>
      </c>
      <c r="C18" s="263">
        <v>11</v>
      </c>
      <c r="D18" s="280">
        <f>220/600</f>
        <v>0.36666666666666664</v>
      </c>
      <c r="E18" s="280">
        <f>134/600</f>
        <v>0.22333333333333333</v>
      </c>
      <c r="F18" s="280">
        <f>12/82</f>
        <v>0.14634146341463414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1">
        <f t="shared" si="0"/>
        <v>0.73634146341463413</v>
      </c>
      <c r="O18" s="253">
        <f t="shared" si="1"/>
        <v>0.73634146341463413</v>
      </c>
      <c r="P18" s="254"/>
    </row>
    <row r="19" spans="1:16" ht="16.5" customHeight="1" x14ac:dyDescent="0.25">
      <c r="A19" s="300" t="s">
        <v>429</v>
      </c>
      <c r="B19" s="255" t="s">
        <v>146</v>
      </c>
      <c r="C19" s="246">
        <v>9</v>
      </c>
      <c r="D19" s="249">
        <f>190/600</f>
        <v>0.31666666666666665</v>
      </c>
      <c r="E19" s="249">
        <f>80/600</f>
        <v>0.13333333333333333</v>
      </c>
      <c r="F19" s="249"/>
      <c r="G19" s="249"/>
      <c r="H19" s="249"/>
      <c r="I19" s="249"/>
      <c r="J19" s="249"/>
      <c r="K19" s="284">
        <v>0</v>
      </c>
      <c r="L19" s="212">
        <v>0</v>
      </c>
      <c r="M19" s="212">
        <v>0</v>
      </c>
      <c r="N19" s="211">
        <f t="shared" si="0"/>
        <v>0.44999999999999996</v>
      </c>
      <c r="O19" s="253">
        <f t="shared" si="1"/>
        <v>0.44999999999999996</v>
      </c>
      <c r="P19" s="254"/>
    </row>
    <row r="20" spans="1:16" ht="16.5" customHeight="1" x14ac:dyDescent="0.25">
      <c r="A20" s="292" t="s">
        <v>430</v>
      </c>
      <c r="B20" s="255" t="s">
        <v>6</v>
      </c>
      <c r="C20" s="246">
        <v>7</v>
      </c>
      <c r="D20" s="249">
        <f>150/600</f>
        <v>0.25</v>
      </c>
      <c r="E20" s="249">
        <f>80/600</f>
        <v>0.13333333333333333</v>
      </c>
      <c r="F20" s="249"/>
      <c r="G20" s="249"/>
      <c r="H20" s="249"/>
      <c r="I20" s="249"/>
      <c r="J20" s="249"/>
      <c r="K20" s="284">
        <v>0</v>
      </c>
      <c r="L20" s="284">
        <v>0</v>
      </c>
      <c r="M20" s="284">
        <v>0</v>
      </c>
      <c r="N20" s="221">
        <f t="shared" si="0"/>
        <v>0.3833333333333333</v>
      </c>
      <c r="O20" s="253">
        <f t="shared" si="1"/>
        <v>0.3833333333333333</v>
      </c>
      <c r="P20" s="254"/>
    </row>
    <row r="21" spans="1:16" ht="16.5" customHeight="1" x14ac:dyDescent="0.25">
      <c r="A21" s="118"/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</row>
  </sheetData>
  <autoFilter ref="A1:P20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"/>
  <sheetViews>
    <sheetView topLeftCell="C1" zoomScaleNormal="100" workbookViewId="0">
      <pane ySplit="1" topLeftCell="A3" activePane="bottomLeft" state="frozen"/>
      <selection activeCell="C1" sqref="C1"/>
      <selection pane="bottomLeft" activeCell="G17" sqref="G17"/>
    </sheetView>
  </sheetViews>
  <sheetFormatPr defaultColWidth="8.7109375" defaultRowHeight="12.75" x14ac:dyDescent="0.2"/>
  <cols>
    <col min="1" max="1" width="32" style="169" customWidth="1"/>
    <col min="2" max="2" width="4" style="237" customWidth="1"/>
    <col min="3" max="3" width="3.85546875" style="237" customWidth="1"/>
    <col min="4" max="5" width="6.7109375" style="237" customWidth="1"/>
    <col min="6" max="7" width="6.7109375" customWidth="1"/>
    <col min="8" max="8" width="6.7109375" style="169" customWidth="1"/>
    <col min="9" max="12" width="6.7109375" customWidth="1"/>
    <col min="16" max="16" width="6.7109375" customWidth="1"/>
    <col min="17" max="17" width="6.7109375" style="237" customWidth="1"/>
    <col min="18" max="18" width="9.140625" customWidth="1"/>
  </cols>
  <sheetData>
    <row r="1" spans="1:18" ht="61.5" customHeight="1" x14ac:dyDescent="0.2">
      <c r="A1" s="158" t="s">
        <v>119</v>
      </c>
      <c r="B1" s="203" t="s">
        <v>2</v>
      </c>
      <c r="C1" s="204" t="s">
        <v>1</v>
      </c>
      <c r="D1" s="205" t="s">
        <v>351</v>
      </c>
      <c r="E1" s="205" t="s">
        <v>352</v>
      </c>
      <c r="F1" s="206">
        <v>1</v>
      </c>
      <c r="G1" s="206">
        <v>2</v>
      </c>
      <c r="H1" s="205" t="s">
        <v>431</v>
      </c>
      <c r="I1" s="206" t="s">
        <v>354</v>
      </c>
      <c r="J1" s="206" t="s">
        <v>432</v>
      </c>
      <c r="K1" s="206" t="s">
        <v>433</v>
      </c>
      <c r="L1" s="206" t="s">
        <v>434</v>
      </c>
      <c r="M1" s="206" t="s">
        <v>435</v>
      </c>
      <c r="N1" s="206" t="s">
        <v>436</v>
      </c>
      <c r="O1" s="206" t="s">
        <v>437</v>
      </c>
      <c r="P1" s="301" t="s">
        <v>397</v>
      </c>
      <c r="Q1" s="206" t="s">
        <v>3</v>
      </c>
      <c r="R1" s="206" t="s">
        <v>4</v>
      </c>
    </row>
    <row r="2" spans="1:18" ht="16.5" customHeight="1" x14ac:dyDescent="0.25">
      <c r="A2" s="286" t="s">
        <v>438</v>
      </c>
      <c r="B2" s="255" t="s">
        <v>439</v>
      </c>
      <c r="C2" s="246">
        <v>8</v>
      </c>
      <c r="D2" s="249">
        <f>174/330</f>
        <v>0.52727272727272723</v>
      </c>
      <c r="E2" s="249">
        <f>148/200</f>
        <v>0.74</v>
      </c>
      <c r="F2" s="249">
        <f>230/300</f>
        <v>0.76666666666666672</v>
      </c>
      <c r="G2" s="249">
        <f>17/300</f>
        <v>5.6666666666666664E-2</v>
      </c>
      <c r="H2" s="280">
        <f>62/200</f>
        <v>0.31</v>
      </c>
      <c r="I2" s="249">
        <f>6/60</f>
        <v>0.1</v>
      </c>
      <c r="J2" s="302">
        <v>0</v>
      </c>
      <c r="K2" s="249">
        <f>40/132</f>
        <v>0.30303030303030304</v>
      </c>
      <c r="L2" s="249">
        <f>15/200</f>
        <v>7.4999999999999997E-2</v>
      </c>
      <c r="M2" s="249">
        <f>30/200</f>
        <v>0.15</v>
      </c>
      <c r="N2" s="249"/>
      <c r="O2" s="303">
        <v>0</v>
      </c>
      <c r="P2" s="221">
        <f t="shared" ref="P2:P18" si="0">SUM(D2:O2)-MIN(D2:O2)</f>
        <v>3.0286363636363638</v>
      </c>
      <c r="Q2" s="249">
        <f>P2*1.2</f>
        <v>3.6343636363636365</v>
      </c>
      <c r="R2" s="254"/>
    </row>
    <row r="3" spans="1:18" ht="16.5" customHeight="1" x14ac:dyDescent="0.25">
      <c r="A3" s="262" t="s">
        <v>440</v>
      </c>
      <c r="B3" s="255">
        <v>171</v>
      </c>
      <c r="C3" s="263">
        <v>11</v>
      </c>
      <c r="D3" s="303">
        <f>300/300</f>
        <v>1</v>
      </c>
      <c r="E3" s="250">
        <f>200/200</f>
        <v>1</v>
      </c>
      <c r="F3" s="304">
        <f>260/300</f>
        <v>0.8666666666666667</v>
      </c>
      <c r="G3" s="305">
        <f>162/300</f>
        <v>0.54</v>
      </c>
      <c r="H3" s="280">
        <f>178/200</f>
        <v>0.89</v>
      </c>
      <c r="I3" s="250">
        <f>200/200</f>
        <v>1</v>
      </c>
      <c r="J3" s="305">
        <f>6/40</f>
        <v>0.15</v>
      </c>
      <c r="K3" s="250">
        <f>200/200</f>
        <v>1</v>
      </c>
      <c r="L3" s="250">
        <f>200/200</f>
        <v>1</v>
      </c>
      <c r="M3" s="249">
        <f>196/200</f>
        <v>0.98</v>
      </c>
      <c r="N3" s="305"/>
      <c r="O3" s="303">
        <v>0</v>
      </c>
      <c r="P3" s="221">
        <f t="shared" si="0"/>
        <v>8.4266666666666676</v>
      </c>
      <c r="Q3" s="304">
        <f>P3</f>
        <v>8.4266666666666676</v>
      </c>
      <c r="R3" s="254"/>
    </row>
    <row r="4" spans="1:18" ht="16.5" customHeight="1" x14ac:dyDescent="0.25">
      <c r="A4" s="306" t="s">
        <v>411</v>
      </c>
      <c r="B4" s="255" t="s">
        <v>6</v>
      </c>
      <c r="C4" s="290">
        <v>10</v>
      </c>
      <c r="D4" s="304">
        <f>125/300</f>
        <v>0.41666666666666669</v>
      </c>
      <c r="E4" s="250">
        <f>200/200</f>
        <v>1</v>
      </c>
      <c r="F4" s="303">
        <v>0</v>
      </c>
      <c r="G4" s="305">
        <f>131/300</f>
        <v>0.43666666666666665</v>
      </c>
      <c r="H4" s="280">
        <f>72/200</f>
        <v>0.36</v>
      </c>
      <c r="I4" s="305">
        <f>29/60</f>
        <v>0.48333333333333334</v>
      </c>
      <c r="J4" s="305">
        <f>24/40</f>
        <v>0.6</v>
      </c>
      <c r="K4" s="249">
        <f>41/132</f>
        <v>0.31060606060606061</v>
      </c>
      <c r="L4" s="249">
        <f>150/200</f>
        <v>0.75</v>
      </c>
      <c r="M4" s="249">
        <f>125/200</f>
        <v>0.625</v>
      </c>
      <c r="N4" s="305"/>
      <c r="O4" s="303">
        <v>0</v>
      </c>
      <c r="P4" s="221">
        <f t="shared" si="0"/>
        <v>4.9822727272727274</v>
      </c>
      <c r="Q4" s="249">
        <f>P4*1.1</f>
        <v>5.4805000000000001</v>
      </c>
      <c r="R4" s="254"/>
    </row>
    <row r="5" spans="1:18" ht="16.5" customHeight="1" x14ac:dyDescent="0.25">
      <c r="A5" s="306" t="s">
        <v>425</v>
      </c>
      <c r="B5" s="255" t="s">
        <v>6</v>
      </c>
      <c r="C5" s="290">
        <v>10</v>
      </c>
      <c r="D5" s="304">
        <f>142/300</f>
        <v>0.47333333333333333</v>
      </c>
      <c r="E5" s="250">
        <f>110/200</f>
        <v>0.55000000000000004</v>
      </c>
      <c r="F5" s="304">
        <f>154/300</f>
        <v>0.51333333333333331</v>
      </c>
      <c r="G5" s="305">
        <f>163/300</f>
        <v>0.54333333333333333</v>
      </c>
      <c r="H5" s="280">
        <f>42/200</f>
        <v>0.21</v>
      </c>
      <c r="I5" s="305">
        <f>20/60</f>
        <v>0.33333333333333331</v>
      </c>
      <c r="J5" s="302">
        <v>0</v>
      </c>
      <c r="K5" s="302">
        <v>0</v>
      </c>
      <c r="L5" s="302">
        <v>0</v>
      </c>
      <c r="M5" s="302">
        <v>0</v>
      </c>
      <c r="N5" s="305"/>
      <c r="O5" s="303">
        <v>0</v>
      </c>
      <c r="P5" s="221">
        <f t="shared" si="0"/>
        <v>2.6233333333333335</v>
      </c>
      <c r="Q5" s="249">
        <f>P5*1.1</f>
        <v>2.8856666666666673</v>
      </c>
      <c r="R5" s="254"/>
    </row>
    <row r="6" spans="1:18" ht="16.5" customHeight="1" x14ac:dyDescent="0.25">
      <c r="A6" s="286" t="s">
        <v>441</v>
      </c>
      <c r="B6" s="255">
        <v>52</v>
      </c>
      <c r="C6" s="246">
        <v>6</v>
      </c>
      <c r="D6" s="304">
        <f>124/300</f>
        <v>0.41333333333333333</v>
      </c>
      <c r="E6" s="304">
        <f>46/200</f>
        <v>0.23</v>
      </c>
      <c r="F6" s="304">
        <f>39/300</f>
        <v>0.13</v>
      </c>
      <c r="G6" s="305">
        <f>62/300</f>
        <v>0.20666666666666667</v>
      </c>
      <c r="H6" s="280">
        <f>12/200</f>
        <v>0.06</v>
      </c>
      <c r="I6" s="303">
        <v>0</v>
      </c>
      <c r="J6" s="303">
        <v>0</v>
      </c>
      <c r="K6" s="249">
        <f>40/132</f>
        <v>0.30303030303030304</v>
      </c>
      <c r="L6" s="249">
        <f>100/200</f>
        <v>0.5</v>
      </c>
      <c r="M6" s="249">
        <f>8/200</f>
        <v>0.04</v>
      </c>
      <c r="N6" s="305"/>
      <c r="O6" s="303">
        <v>0</v>
      </c>
      <c r="P6" s="221">
        <f t="shared" si="0"/>
        <v>1.8830303030303031</v>
      </c>
      <c r="Q6" s="249">
        <f>P6*1.2</f>
        <v>2.2596363636363637</v>
      </c>
      <c r="R6" s="254"/>
    </row>
    <row r="7" spans="1:18" ht="16.5" customHeight="1" x14ac:dyDescent="0.25">
      <c r="A7" s="307" t="s">
        <v>428</v>
      </c>
      <c r="B7" s="255">
        <v>194</v>
      </c>
      <c r="C7" s="308">
        <v>10</v>
      </c>
      <c r="D7" s="304">
        <f>54/300</f>
        <v>0.18</v>
      </c>
      <c r="E7" s="249">
        <f>172/200</f>
        <v>0.86</v>
      </c>
      <c r="F7" s="304">
        <f>221/300</f>
        <v>0.73666666666666669</v>
      </c>
      <c r="G7" s="305">
        <f>100/300</f>
        <v>0.33333333333333331</v>
      </c>
      <c r="H7" s="280">
        <f>98/200</f>
        <v>0.49</v>
      </c>
      <c r="I7" s="305">
        <f>22/60</f>
        <v>0.36666666666666664</v>
      </c>
      <c r="J7" s="305">
        <f>17/40</f>
        <v>0.42499999999999999</v>
      </c>
      <c r="K7" s="249">
        <f>40/132</f>
        <v>0.30303030303030304</v>
      </c>
      <c r="L7" s="249">
        <f>75/200</f>
        <v>0.375</v>
      </c>
      <c r="M7" s="249">
        <f>140/200</f>
        <v>0.7</v>
      </c>
      <c r="N7" s="305"/>
      <c r="O7" s="303">
        <v>0</v>
      </c>
      <c r="P7" s="221">
        <f t="shared" si="0"/>
        <v>4.7696969696969704</v>
      </c>
      <c r="Q7" s="249">
        <f>P7*1.1</f>
        <v>5.2466666666666679</v>
      </c>
      <c r="R7" s="254"/>
    </row>
    <row r="8" spans="1:18" ht="16.5" customHeight="1" x14ac:dyDescent="0.25">
      <c r="A8" s="309" t="s">
        <v>402</v>
      </c>
      <c r="B8" s="255" t="s">
        <v>146</v>
      </c>
      <c r="C8" s="260">
        <v>11</v>
      </c>
      <c r="D8" s="304">
        <f>238/300</f>
        <v>0.79333333333333333</v>
      </c>
      <c r="E8" s="249">
        <f>164/200</f>
        <v>0.82</v>
      </c>
      <c r="F8" s="304">
        <f>260/300</f>
        <v>0.8666666666666667</v>
      </c>
      <c r="G8" s="305">
        <f>232/300</f>
        <v>0.77333333333333332</v>
      </c>
      <c r="H8" s="250">
        <f>200/200</f>
        <v>1</v>
      </c>
      <c r="I8" s="250">
        <f>200/200</f>
        <v>1</v>
      </c>
      <c r="J8" s="305">
        <f>23/40</f>
        <v>0.57499999999999996</v>
      </c>
      <c r="K8" s="249">
        <f>73/132</f>
        <v>0.55303030303030298</v>
      </c>
      <c r="L8" s="249">
        <f>195/200</f>
        <v>0.97499999999999998</v>
      </c>
      <c r="M8" s="249">
        <f>195/200</f>
        <v>0.97499999999999998</v>
      </c>
      <c r="N8" s="305"/>
      <c r="O8" s="303">
        <v>0</v>
      </c>
      <c r="P8" s="221">
        <f t="shared" si="0"/>
        <v>8.331363636363637</v>
      </c>
      <c r="Q8" s="304">
        <f>P8</f>
        <v>8.331363636363637</v>
      </c>
      <c r="R8" s="254"/>
    </row>
    <row r="9" spans="1:18" ht="16.5" customHeight="1" x14ac:dyDescent="0.25">
      <c r="A9" s="262" t="s">
        <v>442</v>
      </c>
      <c r="B9" s="255">
        <v>171</v>
      </c>
      <c r="C9" s="263">
        <v>10</v>
      </c>
      <c r="D9" s="304">
        <f>129/300</f>
        <v>0.43</v>
      </c>
      <c r="E9" s="249">
        <f>164/200</f>
        <v>0.82</v>
      </c>
      <c r="F9" s="304">
        <f>189/300</f>
        <v>0.63</v>
      </c>
      <c r="G9" s="305">
        <f>131/300</f>
        <v>0.43666666666666665</v>
      </c>
      <c r="H9" s="280">
        <f>10/200</f>
        <v>0.05</v>
      </c>
      <c r="I9" s="305">
        <f>33/60</f>
        <v>0.55000000000000004</v>
      </c>
      <c r="J9" s="305">
        <f>18/40</f>
        <v>0.45</v>
      </c>
      <c r="K9" s="249">
        <f>53/132</f>
        <v>0.40151515151515149</v>
      </c>
      <c r="L9" s="249">
        <f>100/200</f>
        <v>0.5</v>
      </c>
      <c r="M9" s="249">
        <f>156/200</f>
        <v>0.78</v>
      </c>
      <c r="N9" s="305"/>
      <c r="O9" s="303">
        <v>0</v>
      </c>
      <c r="P9" s="221">
        <f t="shared" si="0"/>
        <v>5.0481818181818179</v>
      </c>
      <c r="Q9" s="249">
        <f>P9*1.1</f>
        <v>5.5529999999999999</v>
      </c>
      <c r="R9" s="254"/>
    </row>
    <row r="10" spans="1:18" ht="16.5" customHeight="1" x14ac:dyDescent="0.25">
      <c r="A10" s="262" t="s">
        <v>443</v>
      </c>
      <c r="B10" s="255">
        <v>145</v>
      </c>
      <c r="C10" s="263">
        <v>9</v>
      </c>
      <c r="D10" s="304">
        <f>119/300</f>
        <v>0.39666666666666667</v>
      </c>
      <c r="E10" s="304">
        <f>66/200</f>
        <v>0.33</v>
      </c>
      <c r="F10" s="304">
        <f>163/300</f>
        <v>0.54333333333333333</v>
      </c>
      <c r="G10" s="305">
        <f>101/300</f>
        <v>0.33666666666666667</v>
      </c>
      <c r="H10" s="302">
        <v>0</v>
      </c>
      <c r="I10" s="305">
        <f>6/60</f>
        <v>0.1</v>
      </c>
      <c r="J10" s="303">
        <v>0</v>
      </c>
      <c r="K10" s="303">
        <v>0</v>
      </c>
      <c r="L10" s="249">
        <f>20/200</f>
        <v>0.1</v>
      </c>
      <c r="M10" s="303">
        <v>0</v>
      </c>
      <c r="N10" s="305"/>
      <c r="O10" s="303">
        <v>0</v>
      </c>
      <c r="P10" s="221">
        <f t="shared" si="0"/>
        <v>1.8066666666666669</v>
      </c>
      <c r="Q10" s="249">
        <f>P10*1.2</f>
        <v>2.1680000000000001</v>
      </c>
      <c r="R10" s="254"/>
    </row>
    <row r="11" spans="1:18" ht="16.5" customHeight="1" x14ac:dyDescent="0.25">
      <c r="A11" s="262" t="s">
        <v>444</v>
      </c>
      <c r="B11" s="255">
        <v>145</v>
      </c>
      <c r="C11" s="263">
        <v>11</v>
      </c>
      <c r="D11" s="303">
        <f>300/300</f>
        <v>1</v>
      </c>
      <c r="E11" s="250">
        <f>200/200</f>
        <v>1</v>
      </c>
      <c r="F11" s="249">
        <f>230/300</f>
        <v>0.76666666666666672</v>
      </c>
      <c r="G11" s="250">
        <f>200/200</f>
        <v>1</v>
      </c>
      <c r="H11" s="280">
        <f>86/200</f>
        <v>0.43</v>
      </c>
      <c r="I11" s="305">
        <f>6/60</f>
        <v>0.1</v>
      </c>
      <c r="J11" s="305">
        <f>8.5/40</f>
        <v>0.21249999999999999</v>
      </c>
      <c r="K11" s="249">
        <f>48/132</f>
        <v>0.36363636363636365</v>
      </c>
      <c r="L11" s="249">
        <f>155/200</f>
        <v>0.77500000000000002</v>
      </c>
      <c r="M11" s="249">
        <f>155/200</f>
        <v>0.77500000000000002</v>
      </c>
      <c r="N11" s="305"/>
      <c r="O11" s="303">
        <v>0</v>
      </c>
      <c r="P11" s="221">
        <f t="shared" si="0"/>
        <v>6.4228030303030303</v>
      </c>
      <c r="Q11" s="304">
        <f>P11</f>
        <v>6.4228030303030303</v>
      </c>
      <c r="R11" s="254"/>
    </row>
    <row r="12" spans="1:18" ht="16.5" customHeight="1" x14ac:dyDescent="0.25">
      <c r="A12" s="306" t="s">
        <v>445</v>
      </c>
      <c r="B12" s="255" t="s">
        <v>6</v>
      </c>
      <c r="C12" s="290">
        <v>9</v>
      </c>
      <c r="D12" s="304">
        <f>140/300</f>
        <v>0.46666666666666667</v>
      </c>
      <c r="E12" s="249">
        <f>87/200</f>
        <v>0.435</v>
      </c>
      <c r="F12" s="304">
        <f>120/300</f>
        <v>0.4</v>
      </c>
      <c r="G12" s="305">
        <f>70/300</f>
        <v>0.23333333333333334</v>
      </c>
      <c r="H12" s="280">
        <f>60/200</f>
        <v>0.3</v>
      </c>
      <c r="I12" s="305">
        <f>20/60</f>
        <v>0.33333333333333331</v>
      </c>
      <c r="J12" s="305">
        <f>8/40</f>
        <v>0.2</v>
      </c>
      <c r="K12" s="249">
        <f>41/132</f>
        <v>0.31060606060606061</v>
      </c>
      <c r="L12" s="249">
        <f>105/200</f>
        <v>0.52500000000000002</v>
      </c>
      <c r="M12" s="249">
        <f>24/200</f>
        <v>0.12</v>
      </c>
      <c r="N12" s="305"/>
      <c r="O12" s="303">
        <v>0</v>
      </c>
      <c r="P12" s="221">
        <f t="shared" si="0"/>
        <v>3.3239393939393942</v>
      </c>
      <c r="Q12" s="249">
        <f>P12*1.2</f>
        <v>3.9887272727272727</v>
      </c>
      <c r="R12" s="254"/>
    </row>
    <row r="13" spans="1:18" ht="16.5" customHeight="1" x14ac:dyDescent="0.25">
      <c r="A13" s="262" t="s">
        <v>446</v>
      </c>
      <c r="B13" s="255">
        <v>145</v>
      </c>
      <c r="C13" s="263">
        <v>10</v>
      </c>
      <c r="D13" s="304">
        <f>142/300</f>
        <v>0.47333333333333333</v>
      </c>
      <c r="E13" s="249">
        <f>100/200</f>
        <v>0.5</v>
      </c>
      <c r="F13" s="304">
        <f>161/300</f>
        <v>0.53666666666666663</v>
      </c>
      <c r="G13" s="305">
        <f>64/300</f>
        <v>0.21333333333333335</v>
      </c>
      <c r="H13" s="280">
        <f>14/200</f>
        <v>7.0000000000000007E-2</v>
      </c>
      <c r="I13" s="303">
        <v>0</v>
      </c>
      <c r="J13" s="303">
        <v>0</v>
      </c>
      <c r="K13" s="249">
        <f>40/132</f>
        <v>0.30303030303030304</v>
      </c>
      <c r="L13" s="303">
        <v>0</v>
      </c>
      <c r="M13" s="303">
        <v>0</v>
      </c>
      <c r="N13" s="305"/>
      <c r="O13" s="303">
        <v>0</v>
      </c>
      <c r="P13" s="221">
        <f t="shared" si="0"/>
        <v>2.0963636363636367</v>
      </c>
      <c r="Q13" s="249">
        <f>P13*1.1</f>
        <v>2.3060000000000005</v>
      </c>
      <c r="R13" s="254"/>
    </row>
    <row r="14" spans="1:18" ht="16.5" customHeight="1" x14ac:dyDescent="0.25">
      <c r="A14" s="259" t="s">
        <v>391</v>
      </c>
      <c r="B14" s="255" t="s">
        <v>400</v>
      </c>
      <c r="C14" s="260">
        <v>11</v>
      </c>
      <c r="D14" s="303">
        <f>300/300</f>
        <v>1</v>
      </c>
      <c r="E14" s="250">
        <f>200/200</f>
        <v>1</v>
      </c>
      <c r="F14" s="304">
        <f>200/300</f>
        <v>0.66666666666666663</v>
      </c>
      <c r="G14" s="305">
        <f>277/300</f>
        <v>0.92333333333333334</v>
      </c>
      <c r="H14" s="280">
        <f>20/200</f>
        <v>0.1</v>
      </c>
      <c r="I14" s="305">
        <f>52/60</f>
        <v>0.8666666666666667</v>
      </c>
      <c r="J14" s="250">
        <f>200/200</f>
        <v>1</v>
      </c>
      <c r="K14" s="249">
        <f>70/132</f>
        <v>0.53030303030303028</v>
      </c>
      <c r="L14" s="250">
        <f>200/200</f>
        <v>1</v>
      </c>
      <c r="M14" s="250">
        <f>200/200</f>
        <v>1</v>
      </c>
      <c r="N14" s="305"/>
      <c r="O14" s="303">
        <v>0</v>
      </c>
      <c r="P14" s="221">
        <f t="shared" si="0"/>
        <v>8.086969696969696</v>
      </c>
      <c r="Q14" s="304">
        <f>P14</f>
        <v>8.086969696969696</v>
      </c>
      <c r="R14" s="254"/>
    </row>
    <row r="15" spans="1:18" ht="16.5" customHeight="1" x14ac:dyDescent="0.25">
      <c r="A15" s="300" t="s">
        <v>447</v>
      </c>
      <c r="B15" s="255">
        <v>52</v>
      </c>
      <c r="C15" s="229">
        <v>9</v>
      </c>
      <c r="D15" s="304">
        <f>111/300</f>
        <v>0.37</v>
      </c>
      <c r="E15" s="249">
        <f>111/200</f>
        <v>0.55500000000000005</v>
      </c>
      <c r="F15" s="303">
        <v>0</v>
      </c>
      <c r="G15" s="303">
        <v>0</v>
      </c>
      <c r="H15" s="302">
        <v>0</v>
      </c>
      <c r="I15" s="302">
        <v>0</v>
      </c>
      <c r="J15" s="303">
        <v>0</v>
      </c>
      <c r="K15" s="303">
        <v>0</v>
      </c>
      <c r="L15" s="303">
        <v>0</v>
      </c>
      <c r="M15" s="302">
        <v>0</v>
      </c>
      <c r="N15" s="305"/>
      <c r="O15" s="303">
        <v>0</v>
      </c>
      <c r="P15" s="221">
        <f t="shared" si="0"/>
        <v>0.92500000000000004</v>
      </c>
      <c r="Q15" s="249">
        <f>P15*1.2</f>
        <v>1.1100000000000001</v>
      </c>
      <c r="R15" s="254"/>
    </row>
    <row r="16" spans="1:18" ht="16.5" customHeight="1" x14ac:dyDescent="0.25">
      <c r="A16" s="262" t="s">
        <v>448</v>
      </c>
      <c r="B16" s="255">
        <v>171</v>
      </c>
      <c r="C16" s="263">
        <v>9</v>
      </c>
      <c r="D16" s="304">
        <f>118/300</f>
        <v>0.39333333333333331</v>
      </c>
      <c r="E16" s="249">
        <f>79/200</f>
        <v>0.39500000000000002</v>
      </c>
      <c r="F16" s="304">
        <f>43/300</f>
        <v>0.14333333333333334</v>
      </c>
      <c r="G16" s="305">
        <f>68/300</f>
        <v>0.22666666666666666</v>
      </c>
      <c r="H16" s="280">
        <f>16/200</f>
        <v>0.08</v>
      </c>
      <c r="I16" s="303">
        <v>0</v>
      </c>
      <c r="J16" s="305">
        <f>9/40</f>
        <v>0.22500000000000001</v>
      </c>
      <c r="K16" s="249">
        <f>40/132</f>
        <v>0.30303030303030304</v>
      </c>
      <c r="L16" s="302">
        <v>0</v>
      </c>
      <c r="M16" s="303">
        <v>0</v>
      </c>
      <c r="N16" s="305"/>
      <c r="O16" s="303">
        <v>0</v>
      </c>
      <c r="P16" s="221">
        <f t="shared" si="0"/>
        <v>1.7663636363636364</v>
      </c>
      <c r="Q16" s="249">
        <f>P16*1.2</f>
        <v>2.1196363636363635</v>
      </c>
      <c r="R16" s="254"/>
    </row>
    <row r="17" spans="1:18" ht="16.5" customHeight="1" x14ac:dyDescent="0.25">
      <c r="A17" s="306" t="s">
        <v>449</v>
      </c>
      <c r="B17" s="255" t="s">
        <v>6</v>
      </c>
      <c r="C17" s="290">
        <v>8</v>
      </c>
      <c r="D17" s="304">
        <f>108/300</f>
        <v>0.36</v>
      </c>
      <c r="E17" s="249">
        <f>119/200</f>
        <v>0.59499999999999997</v>
      </c>
      <c r="F17" s="304">
        <f>55/300</f>
        <v>0.18333333333333332</v>
      </c>
      <c r="G17" s="305">
        <f>72/300</f>
        <v>0.24</v>
      </c>
      <c r="H17" s="302">
        <v>0</v>
      </c>
      <c r="I17" s="305">
        <f>1/60</f>
        <v>1.6666666666666666E-2</v>
      </c>
      <c r="J17" s="305">
        <f>2/40</f>
        <v>0.05</v>
      </c>
      <c r="K17" s="303">
        <v>0</v>
      </c>
      <c r="L17" s="249">
        <f>65/200</f>
        <v>0.32500000000000001</v>
      </c>
      <c r="M17" s="303">
        <v>0</v>
      </c>
      <c r="N17" s="305"/>
      <c r="O17" s="303">
        <v>0</v>
      </c>
      <c r="P17" s="221">
        <f t="shared" si="0"/>
        <v>1.7699999999999998</v>
      </c>
      <c r="Q17" s="249">
        <f>P17*1.2</f>
        <v>2.1239999999999997</v>
      </c>
      <c r="R17" s="254"/>
    </row>
    <row r="18" spans="1:18" ht="16.5" customHeight="1" x14ac:dyDescent="0.25">
      <c r="A18" s="262" t="s">
        <v>420</v>
      </c>
      <c r="B18" s="255" t="s">
        <v>421</v>
      </c>
      <c r="C18" s="263">
        <v>11</v>
      </c>
      <c r="D18" s="304">
        <f>187/300</f>
        <v>0.62333333333333329</v>
      </c>
      <c r="E18" s="249">
        <f>197/200</f>
        <v>0.98499999999999999</v>
      </c>
      <c r="F18" s="303">
        <v>0</v>
      </c>
      <c r="G18" s="303">
        <v>0</v>
      </c>
      <c r="H18" s="302">
        <v>0</v>
      </c>
      <c r="I18" s="302">
        <v>0</v>
      </c>
      <c r="J18" s="302">
        <v>0</v>
      </c>
      <c r="K18" s="302">
        <v>0</v>
      </c>
      <c r="L18" s="302">
        <v>0</v>
      </c>
      <c r="M18" s="302">
        <v>0</v>
      </c>
      <c r="N18" s="305"/>
      <c r="O18" s="303">
        <v>0</v>
      </c>
      <c r="P18" s="221">
        <f t="shared" si="0"/>
        <v>1.6083333333333334</v>
      </c>
      <c r="Q18" s="304">
        <f>P18</f>
        <v>1.6083333333333334</v>
      </c>
      <c r="R18" s="254"/>
    </row>
  </sheetData>
  <autoFilter ref="A1:R18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9"/>
  <sheetViews>
    <sheetView zoomScaleNormal="100" workbookViewId="0"/>
  </sheetViews>
  <sheetFormatPr defaultColWidth="9.140625" defaultRowHeight="15.75" x14ac:dyDescent="0.25"/>
  <cols>
    <col min="1" max="1" width="35" style="200" customWidth="1"/>
    <col min="2" max="2" width="4" style="202" customWidth="1"/>
    <col min="3" max="3" width="3.85546875" style="202" customWidth="1"/>
    <col min="4" max="4" width="28.5703125" style="202" hidden="1" customWidth="1"/>
    <col min="5" max="6" width="6.7109375" style="202" customWidth="1"/>
    <col min="7" max="8" width="6.7109375" style="118" customWidth="1"/>
    <col min="9" max="9" width="6.7109375" style="200" customWidth="1"/>
    <col min="10" max="10" width="6.7109375" style="118" customWidth="1"/>
    <col min="11" max="11" width="6.7109375" style="202" customWidth="1"/>
    <col min="12" max="13" width="6.7109375" style="118" customWidth="1"/>
    <col min="14" max="14" width="7.5703125" style="202" customWidth="1"/>
    <col min="15" max="15" width="6.7109375" style="118" customWidth="1"/>
    <col min="16" max="16" width="6.7109375" style="202" customWidth="1"/>
    <col min="17" max="1024" width="9.140625" style="118"/>
  </cols>
  <sheetData>
    <row r="1" spans="1:17" ht="61.5" customHeight="1" x14ac:dyDescent="0.25">
      <c r="A1" s="205" t="s">
        <v>119</v>
      </c>
      <c r="B1" s="204" t="s">
        <v>2</v>
      </c>
      <c r="C1" s="204" t="s">
        <v>1</v>
      </c>
      <c r="D1" s="310" t="s">
        <v>274</v>
      </c>
      <c r="E1" s="205" t="s">
        <v>351</v>
      </c>
      <c r="F1" s="205" t="s">
        <v>352</v>
      </c>
      <c r="G1" s="206" t="s">
        <v>450</v>
      </c>
      <c r="H1" s="206" t="s">
        <v>327</v>
      </c>
      <c r="I1" s="205" t="s">
        <v>328</v>
      </c>
      <c r="J1" s="206" t="s">
        <v>451</v>
      </c>
      <c r="K1" s="206" t="s">
        <v>452</v>
      </c>
      <c r="L1" s="206" t="s">
        <v>453</v>
      </c>
      <c r="M1" s="206" t="s">
        <v>454</v>
      </c>
      <c r="N1" s="206" t="s">
        <v>455</v>
      </c>
      <c r="O1" s="206" t="s">
        <v>397</v>
      </c>
      <c r="P1" s="206" t="s">
        <v>3</v>
      </c>
      <c r="Q1" s="206" t="s">
        <v>4</v>
      </c>
    </row>
    <row r="2" spans="1:17" ht="16.5" customHeight="1" x14ac:dyDescent="0.25">
      <c r="A2" s="307" t="s">
        <v>428</v>
      </c>
      <c r="B2" s="255">
        <v>194</v>
      </c>
      <c r="C2" s="308">
        <v>11</v>
      </c>
      <c r="D2" s="311" t="s">
        <v>456</v>
      </c>
      <c r="E2" s="312">
        <f>372/500</f>
        <v>0.74399999999999999</v>
      </c>
      <c r="F2" s="313">
        <f>255/500</f>
        <v>0.51</v>
      </c>
      <c r="G2" s="279">
        <f>155/200</f>
        <v>0.77500000000000002</v>
      </c>
      <c r="H2" s="314">
        <f>99/145</f>
        <v>0.6827586206896552</v>
      </c>
      <c r="I2" s="315">
        <f>145/145</f>
        <v>1</v>
      </c>
      <c r="J2" s="315">
        <f>145/145</f>
        <v>1</v>
      </c>
      <c r="K2" s="249">
        <f>206/300</f>
        <v>0.68666666666666665</v>
      </c>
      <c r="L2" s="316">
        <f>190/200</f>
        <v>0.95</v>
      </c>
      <c r="M2" s="317">
        <f>120/200</f>
        <v>0.6</v>
      </c>
      <c r="N2" s="315">
        <f>145/145</f>
        <v>1</v>
      </c>
      <c r="O2" s="211">
        <f t="shared" ref="O2:O19" si="0">SUM(E2:N2)-MIN(E2:N2)</f>
        <v>7.4384252873563215</v>
      </c>
      <c r="P2" s="249">
        <f>O2</f>
        <v>7.4384252873563215</v>
      </c>
      <c r="Q2" s="318" t="s">
        <v>103</v>
      </c>
    </row>
    <row r="3" spans="1:17" ht="16.5" customHeight="1" x14ac:dyDescent="0.25">
      <c r="A3" s="262" t="s">
        <v>446</v>
      </c>
      <c r="B3" s="255">
        <v>145</v>
      </c>
      <c r="C3" s="263">
        <v>11</v>
      </c>
      <c r="D3" s="311" t="s">
        <v>457</v>
      </c>
      <c r="E3" s="312">
        <f>397/500</f>
        <v>0.79400000000000004</v>
      </c>
      <c r="F3" s="313">
        <f>370/500</f>
        <v>0.74</v>
      </c>
      <c r="G3" s="249">
        <f>136/200</f>
        <v>0.68</v>
      </c>
      <c r="H3" s="319">
        <f>126/145</f>
        <v>0.86896551724137927</v>
      </c>
      <c r="I3" s="279">
        <f>19/24</f>
        <v>0.79166666666666663</v>
      </c>
      <c r="J3" s="315">
        <f>145/145</f>
        <v>1</v>
      </c>
      <c r="K3" s="249">
        <f>285/300</f>
        <v>0.95</v>
      </c>
      <c r="L3" s="316">
        <f>180/200</f>
        <v>0.9</v>
      </c>
      <c r="M3" s="317">
        <f>72/200</f>
        <v>0.36</v>
      </c>
      <c r="N3" s="249">
        <f>132/300</f>
        <v>0.44</v>
      </c>
      <c r="O3" s="211">
        <f t="shared" si="0"/>
        <v>7.1646321839080471</v>
      </c>
      <c r="P3" s="249">
        <f>O3</f>
        <v>7.1646321839080471</v>
      </c>
      <c r="Q3" s="318" t="s">
        <v>103</v>
      </c>
    </row>
    <row r="4" spans="1:17" ht="16.5" customHeight="1" x14ac:dyDescent="0.25">
      <c r="A4" s="320" t="s">
        <v>458</v>
      </c>
      <c r="B4" s="321">
        <v>208</v>
      </c>
      <c r="C4" s="322">
        <v>8</v>
      </c>
      <c r="D4" s="323" t="s">
        <v>459</v>
      </c>
      <c r="E4" s="312">
        <f>397/500</f>
        <v>0.79400000000000004</v>
      </c>
      <c r="F4" s="313">
        <f>187/500</f>
        <v>0.374</v>
      </c>
      <c r="G4" s="314">
        <f>84/200</f>
        <v>0.42</v>
      </c>
      <c r="H4" s="319">
        <f>119/145</f>
        <v>0.82068965517241377</v>
      </c>
      <c r="I4" s="324">
        <f>21/24</f>
        <v>0.875</v>
      </c>
      <c r="J4" s="325">
        <f>(97+35)/132</f>
        <v>1</v>
      </c>
      <c r="K4" s="315">
        <f>145/145</f>
        <v>1</v>
      </c>
      <c r="L4" s="317">
        <f>20/200</f>
        <v>0.1</v>
      </c>
      <c r="M4" s="317">
        <f>108/200</f>
        <v>0.54</v>
      </c>
      <c r="N4" s="249">
        <f>292/300</f>
        <v>0.97333333333333338</v>
      </c>
      <c r="O4" s="211">
        <f t="shared" si="0"/>
        <v>6.7970229885057476</v>
      </c>
      <c r="P4" s="249">
        <f>O4*1.2</f>
        <v>8.1564275862068971</v>
      </c>
      <c r="Q4" s="318" t="s">
        <v>103</v>
      </c>
    </row>
    <row r="5" spans="1:17" ht="16.5" customHeight="1" x14ac:dyDescent="0.25">
      <c r="A5" s="320" t="s">
        <v>460</v>
      </c>
      <c r="B5" s="321">
        <v>145</v>
      </c>
      <c r="C5" s="322">
        <v>11</v>
      </c>
      <c r="D5" s="323" t="s">
        <v>461</v>
      </c>
      <c r="E5" s="312">
        <f>330/500</f>
        <v>0.66</v>
      </c>
      <c r="F5" s="313">
        <f>293/500</f>
        <v>0.58599999999999997</v>
      </c>
      <c r="G5" s="314">
        <f>80/200</f>
        <v>0.4</v>
      </c>
      <c r="H5" s="319">
        <f>136/145</f>
        <v>0.93793103448275861</v>
      </c>
      <c r="I5" s="279">
        <f>20/24</f>
        <v>0.83333333333333337</v>
      </c>
      <c r="J5" s="317">
        <f>87/132</f>
        <v>0.65909090909090906</v>
      </c>
      <c r="K5" s="249">
        <f>209/300</f>
        <v>0.69666666666666666</v>
      </c>
      <c r="L5" s="316">
        <f>170/200</f>
        <v>0.85</v>
      </c>
      <c r="M5" s="317">
        <f>100/200</f>
        <v>0.5</v>
      </c>
      <c r="N5" s="249">
        <f>147/300</f>
        <v>0.49</v>
      </c>
      <c r="O5" s="211">
        <f t="shared" si="0"/>
        <v>6.2130219435736667</v>
      </c>
      <c r="P5" s="249">
        <f>O5</f>
        <v>6.2130219435736667</v>
      </c>
      <c r="Q5" s="318"/>
    </row>
    <row r="6" spans="1:17" ht="16.5" customHeight="1" x14ac:dyDescent="0.25">
      <c r="A6" s="262" t="s">
        <v>442</v>
      </c>
      <c r="B6" s="255">
        <v>171</v>
      </c>
      <c r="C6" s="263">
        <v>11</v>
      </c>
      <c r="D6" s="326" t="s">
        <v>462</v>
      </c>
      <c r="E6" s="312">
        <f>341/500</f>
        <v>0.68200000000000005</v>
      </c>
      <c r="F6" s="313">
        <f>244/500</f>
        <v>0.48799999999999999</v>
      </c>
      <c r="G6" s="249">
        <f>140/200</f>
        <v>0.7</v>
      </c>
      <c r="H6" s="315">
        <f>145/145</f>
        <v>1</v>
      </c>
      <c r="I6" s="315">
        <f>145/145</f>
        <v>1</v>
      </c>
      <c r="J6" s="325">
        <f>(107+25)/132</f>
        <v>1</v>
      </c>
      <c r="K6" s="249">
        <f>20/300</f>
        <v>6.6666666666666666E-2</v>
      </c>
      <c r="L6" s="316">
        <f>180/200</f>
        <v>0.9</v>
      </c>
      <c r="M6" s="317">
        <f>29/200</f>
        <v>0.14499999999999999</v>
      </c>
      <c r="N6" s="250"/>
      <c r="O6" s="211">
        <f t="shared" si="0"/>
        <v>5.915</v>
      </c>
      <c r="P6" s="249">
        <f>O6</f>
        <v>5.915</v>
      </c>
      <c r="Q6" s="318"/>
    </row>
    <row r="7" spans="1:17" ht="16.5" customHeight="1" x14ac:dyDescent="0.25">
      <c r="A7" s="320" t="s">
        <v>463</v>
      </c>
      <c r="B7" s="321">
        <v>145</v>
      </c>
      <c r="C7" s="322">
        <v>10</v>
      </c>
      <c r="D7" s="323" t="s">
        <v>464</v>
      </c>
      <c r="E7" s="312">
        <f>353/500</f>
        <v>0.70599999999999996</v>
      </c>
      <c r="F7" s="313">
        <f>234/500</f>
        <v>0.46800000000000003</v>
      </c>
      <c r="G7" s="314">
        <f>100/200</f>
        <v>0.5</v>
      </c>
      <c r="H7" s="314">
        <f>85/145</f>
        <v>0.58620689655172409</v>
      </c>
      <c r="I7" s="279">
        <f>19/24</f>
        <v>0.79166666666666663</v>
      </c>
      <c r="J7" s="325">
        <f>(131+1)/132</f>
        <v>1</v>
      </c>
      <c r="K7" s="249">
        <f>255/300</f>
        <v>0.85</v>
      </c>
      <c r="L7" s="317">
        <f>100/200</f>
        <v>0.5</v>
      </c>
      <c r="M7" s="317">
        <f>52/200</f>
        <v>0.26</v>
      </c>
      <c r="N7" s="249">
        <f>144/300</f>
        <v>0.48</v>
      </c>
      <c r="O7" s="211">
        <f t="shared" si="0"/>
        <v>5.8818735632183898</v>
      </c>
      <c r="P7" s="249">
        <f>O7*1.1</f>
        <v>6.470060919540229</v>
      </c>
      <c r="Q7" s="318" t="s">
        <v>103</v>
      </c>
    </row>
    <row r="8" spans="1:17" ht="16.5" customHeight="1" x14ac:dyDescent="0.25">
      <c r="A8" s="320" t="s">
        <v>465</v>
      </c>
      <c r="B8" s="321">
        <v>145</v>
      </c>
      <c r="C8" s="322">
        <v>11</v>
      </c>
      <c r="D8" s="323" t="s">
        <v>466</v>
      </c>
      <c r="E8" s="312">
        <f>372/500</f>
        <v>0.74399999999999999</v>
      </c>
      <c r="F8" s="313">
        <f>297/500</f>
        <v>0.59399999999999997</v>
      </c>
      <c r="G8" s="314">
        <f>100/200</f>
        <v>0.5</v>
      </c>
      <c r="H8" s="314">
        <f>83/145</f>
        <v>0.57241379310344831</v>
      </c>
      <c r="I8" s="280">
        <f>9/24</f>
        <v>0.375</v>
      </c>
      <c r="J8" s="279">
        <f>118/132</f>
        <v>0.89393939393939392</v>
      </c>
      <c r="K8" s="315">
        <f>145/145</f>
        <v>1</v>
      </c>
      <c r="L8" s="316">
        <f>170/200</f>
        <v>0.85</v>
      </c>
      <c r="M8" s="317">
        <f>14/200</f>
        <v>7.0000000000000007E-2</v>
      </c>
      <c r="N8" s="321">
        <v>0</v>
      </c>
      <c r="O8" s="211">
        <f t="shared" si="0"/>
        <v>5.5993531870428424</v>
      </c>
      <c r="P8" s="249">
        <f>O8</f>
        <v>5.5993531870428424</v>
      </c>
      <c r="Q8" s="318"/>
    </row>
    <row r="9" spans="1:17" ht="16.5" customHeight="1" x14ac:dyDescent="0.25">
      <c r="A9" s="262" t="s">
        <v>443</v>
      </c>
      <c r="B9" s="255">
        <v>145</v>
      </c>
      <c r="C9" s="263">
        <v>10</v>
      </c>
      <c r="D9" s="326" t="s">
        <v>467</v>
      </c>
      <c r="E9" s="312">
        <f>335/500</f>
        <v>0.67</v>
      </c>
      <c r="F9" s="313">
        <f>363/500</f>
        <v>0.72599999999999998</v>
      </c>
      <c r="G9" s="249">
        <f>93/200</f>
        <v>0.46500000000000002</v>
      </c>
      <c r="H9" s="319">
        <f>121/145</f>
        <v>0.83448275862068966</v>
      </c>
      <c r="I9" s="279">
        <f>20/24</f>
        <v>0.83333333333333337</v>
      </c>
      <c r="J9" s="249">
        <f>40/132</f>
        <v>0.30303030303030304</v>
      </c>
      <c r="K9" s="249">
        <f>130/300</f>
        <v>0.43333333333333335</v>
      </c>
      <c r="L9" s="317">
        <f>110/200</f>
        <v>0.55000000000000004</v>
      </c>
      <c r="M9" s="317">
        <f>98/200</f>
        <v>0.49</v>
      </c>
      <c r="N9" s="249">
        <f>103/300</f>
        <v>0.34333333333333332</v>
      </c>
      <c r="O9" s="211">
        <f t="shared" si="0"/>
        <v>5.3454827586206903</v>
      </c>
      <c r="P9" s="249">
        <f>O9*1.1</f>
        <v>5.8800310344827595</v>
      </c>
      <c r="Q9" s="318" t="s">
        <v>103</v>
      </c>
    </row>
    <row r="10" spans="1:17" ht="16.5" customHeight="1" x14ac:dyDescent="0.25">
      <c r="A10" s="306" t="s">
        <v>411</v>
      </c>
      <c r="B10" s="255" t="s">
        <v>6</v>
      </c>
      <c r="C10" s="290">
        <v>11</v>
      </c>
      <c r="D10" s="311" t="s">
        <v>468</v>
      </c>
      <c r="E10" s="312">
        <f>392/500</f>
        <v>0.78400000000000003</v>
      </c>
      <c r="F10" s="313">
        <f>363/500</f>
        <v>0.72599999999999998</v>
      </c>
      <c r="G10" s="249">
        <f>130/200</f>
        <v>0.65</v>
      </c>
      <c r="H10" s="314">
        <f>40/145</f>
        <v>0.27586206896551724</v>
      </c>
      <c r="I10" s="280">
        <f>11.5/24</f>
        <v>0.47916666666666669</v>
      </c>
      <c r="J10" s="318">
        <v>0</v>
      </c>
      <c r="K10" s="249">
        <f>290/300</f>
        <v>0.96666666666666667</v>
      </c>
      <c r="L10" s="317">
        <f>120/200</f>
        <v>0.6</v>
      </c>
      <c r="M10" s="317">
        <f>0/200</f>
        <v>0</v>
      </c>
      <c r="N10" s="250">
        <f>0/300</f>
        <v>0</v>
      </c>
      <c r="O10" s="211">
        <f t="shared" si="0"/>
        <v>4.4816954022988504</v>
      </c>
      <c r="P10" s="249">
        <f>O10</f>
        <v>4.4816954022988504</v>
      </c>
      <c r="Q10" s="318" t="s">
        <v>103</v>
      </c>
    </row>
    <row r="11" spans="1:17" ht="16.5" customHeight="1" x14ac:dyDescent="0.25">
      <c r="A11" s="306" t="s">
        <v>449</v>
      </c>
      <c r="B11" s="255" t="s">
        <v>6</v>
      </c>
      <c r="C11" s="290">
        <v>9</v>
      </c>
      <c r="D11" s="311" t="s">
        <v>469</v>
      </c>
      <c r="E11" s="312">
        <f>372/500</f>
        <v>0.74399999999999999</v>
      </c>
      <c r="F11" s="313">
        <f>197/500</f>
        <v>0.39400000000000002</v>
      </c>
      <c r="G11" s="314">
        <f>100/200</f>
        <v>0.5</v>
      </c>
      <c r="H11" s="314">
        <f>40/145</f>
        <v>0.27586206896551724</v>
      </c>
      <c r="I11" s="280">
        <f>16.5/24</f>
        <v>0.6875</v>
      </c>
      <c r="J11" s="250">
        <f>40/132</f>
        <v>0.30303030303030304</v>
      </c>
      <c r="K11" s="249">
        <f>107/300</f>
        <v>0.35666666666666669</v>
      </c>
      <c r="L11" s="317">
        <f>40/200</f>
        <v>0.2</v>
      </c>
      <c r="M11" s="317">
        <f>76/200</f>
        <v>0.38</v>
      </c>
      <c r="N11" s="249">
        <f>142/300</f>
        <v>0.47333333333333333</v>
      </c>
      <c r="O11" s="211">
        <f t="shared" si="0"/>
        <v>4.1143923719958204</v>
      </c>
      <c r="P11" s="249">
        <f>O11*1.2</f>
        <v>4.9372708463949841</v>
      </c>
      <c r="Q11" s="318" t="s">
        <v>103</v>
      </c>
    </row>
    <row r="12" spans="1:17" ht="16.5" customHeight="1" x14ac:dyDescent="0.25">
      <c r="A12" s="259" t="s">
        <v>430</v>
      </c>
      <c r="B12" s="321" t="s">
        <v>6</v>
      </c>
      <c r="C12" s="322">
        <v>9</v>
      </c>
      <c r="D12" s="323" t="s">
        <v>470</v>
      </c>
      <c r="E12" s="312">
        <f>372/500</f>
        <v>0.74399999999999999</v>
      </c>
      <c r="F12" s="313">
        <f>258/500</f>
        <v>0.51600000000000001</v>
      </c>
      <c r="G12" s="314">
        <f>89/200</f>
        <v>0.44500000000000001</v>
      </c>
      <c r="H12" s="314">
        <f>20/145</f>
        <v>0.13793103448275862</v>
      </c>
      <c r="I12" s="280">
        <f>11/24</f>
        <v>0.45833333333333331</v>
      </c>
      <c r="J12" s="249">
        <f>22/132</f>
        <v>0.16666666666666666</v>
      </c>
      <c r="K12" s="249">
        <f>135/300</f>
        <v>0.45</v>
      </c>
      <c r="L12" s="317">
        <f>110/200</f>
        <v>0.55000000000000004</v>
      </c>
      <c r="M12" s="317">
        <f>30/200</f>
        <v>0.15</v>
      </c>
      <c r="N12" s="249">
        <f>178/300</f>
        <v>0.59333333333333338</v>
      </c>
      <c r="O12" s="211">
        <f t="shared" si="0"/>
        <v>4.0733333333333333</v>
      </c>
      <c r="P12" s="249">
        <f>O12*1.2</f>
        <v>4.8879999999999999</v>
      </c>
      <c r="Q12" s="318"/>
    </row>
    <row r="13" spans="1:17" ht="16.5" customHeight="1" x14ac:dyDescent="0.25">
      <c r="A13" s="259" t="s">
        <v>471</v>
      </c>
      <c r="B13" s="321" t="s">
        <v>6</v>
      </c>
      <c r="C13" s="322">
        <v>10</v>
      </c>
      <c r="D13" s="327" t="s">
        <v>472</v>
      </c>
      <c r="E13" s="312">
        <f>372/500</f>
        <v>0.74399999999999999</v>
      </c>
      <c r="F13" s="313">
        <f>240/500</f>
        <v>0.48</v>
      </c>
      <c r="G13" s="314">
        <f>60/200</f>
        <v>0.3</v>
      </c>
      <c r="H13" s="314">
        <f>13/145</f>
        <v>8.9655172413793102E-2</v>
      </c>
      <c r="I13" s="280">
        <f>14/24</f>
        <v>0.58333333333333337</v>
      </c>
      <c r="J13" s="249">
        <f>43/132</f>
        <v>0.32575757575757575</v>
      </c>
      <c r="K13" s="249">
        <f>103/300</f>
        <v>0.34333333333333332</v>
      </c>
      <c r="L13" s="317">
        <f>120/200</f>
        <v>0.6</v>
      </c>
      <c r="M13" s="317">
        <f>38/200</f>
        <v>0.19</v>
      </c>
      <c r="N13" s="249">
        <f>89/300</f>
        <v>0.29666666666666669</v>
      </c>
      <c r="O13" s="211">
        <f t="shared" si="0"/>
        <v>3.8630909090909094</v>
      </c>
      <c r="P13" s="249">
        <f>O13*1.1</f>
        <v>4.2494000000000005</v>
      </c>
      <c r="Q13" s="318"/>
    </row>
    <row r="14" spans="1:17" ht="16.5" customHeight="1" x14ac:dyDescent="0.25">
      <c r="A14" s="306" t="s">
        <v>445</v>
      </c>
      <c r="B14" s="255" t="s">
        <v>6</v>
      </c>
      <c r="C14" s="290">
        <v>10</v>
      </c>
      <c r="D14" s="311" t="s">
        <v>473</v>
      </c>
      <c r="E14" s="312">
        <f>298/500</f>
        <v>0.59599999999999997</v>
      </c>
      <c r="F14" s="313">
        <f>260/500</f>
        <v>0.52</v>
      </c>
      <c r="G14" s="249">
        <f>35/200</f>
        <v>0.17499999999999999</v>
      </c>
      <c r="H14" s="314">
        <f>13/145</f>
        <v>8.9655172413793102E-2</v>
      </c>
      <c r="I14" s="321">
        <v>0</v>
      </c>
      <c r="J14" s="249">
        <f>81/132</f>
        <v>0.61363636363636365</v>
      </c>
      <c r="K14" s="315">
        <f>145/145</f>
        <v>1</v>
      </c>
      <c r="L14" s="317">
        <f>35/200</f>
        <v>0.17499999999999999</v>
      </c>
      <c r="M14" s="317">
        <f>98/200</f>
        <v>0.49</v>
      </c>
      <c r="N14" s="321">
        <v>0</v>
      </c>
      <c r="O14" s="211">
        <f t="shared" si="0"/>
        <v>3.6592915360501568</v>
      </c>
      <c r="P14" s="249">
        <f>O14*1.1</f>
        <v>4.025220689655173</v>
      </c>
      <c r="Q14" s="318"/>
    </row>
    <row r="15" spans="1:17" ht="16.5" customHeight="1" x14ac:dyDescent="0.25">
      <c r="A15" s="259" t="s">
        <v>474</v>
      </c>
      <c r="B15" s="321">
        <v>145</v>
      </c>
      <c r="C15" s="322">
        <v>11</v>
      </c>
      <c r="D15" s="323" t="s">
        <v>475</v>
      </c>
      <c r="E15" s="312">
        <f>332/500</f>
        <v>0.66400000000000003</v>
      </c>
      <c r="F15" s="313">
        <f>255/500</f>
        <v>0.51</v>
      </c>
      <c r="G15" s="314">
        <f>24/200</f>
        <v>0.12</v>
      </c>
      <c r="H15" s="314">
        <f>66/145</f>
        <v>0.45517241379310347</v>
      </c>
      <c r="I15" s="279">
        <f>19/24</f>
        <v>0.79166666666666663</v>
      </c>
      <c r="J15" s="317">
        <f>93/132</f>
        <v>0.70454545454545459</v>
      </c>
      <c r="K15" s="321">
        <v>0</v>
      </c>
      <c r="L15" s="321">
        <v>0</v>
      </c>
      <c r="M15" s="321">
        <v>0</v>
      </c>
      <c r="N15" s="321">
        <v>0</v>
      </c>
      <c r="O15" s="211">
        <f t="shared" si="0"/>
        <v>3.2453845350052246</v>
      </c>
      <c r="P15" s="249">
        <f>O15</f>
        <v>3.2453845350052246</v>
      </c>
      <c r="Q15" s="318"/>
    </row>
    <row r="16" spans="1:17" ht="16.5" customHeight="1" x14ac:dyDescent="0.25">
      <c r="A16" s="320" t="s">
        <v>476</v>
      </c>
      <c r="B16" s="321">
        <v>145</v>
      </c>
      <c r="C16" s="322">
        <v>10</v>
      </c>
      <c r="D16" s="323" t="s">
        <v>477</v>
      </c>
      <c r="E16" s="312">
        <f>344/500</f>
        <v>0.68799999999999994</v>
      </c>
      <c r="F16" s="313">
        <f>240/500</f>
        <v>0.48</v>
      </c>
      <c r="G16" s="314">
        <v>0</v>
      </c>
      <c r="H16" s="314">
        <f>12/145</f>
        <v>8.2758620689655171E-2</v>
      </c>
      <c r="I16" s="280">
        <f>15/24</f>
        <v>0.625</v>
      </c>
      <c r="J16" s="249">
        <f>24/132</f>
        <v>0.18181818181818182</v>
      </c>
      <c r="K16" s="249">
        <f>123/300</f>
        <v>0.41</v>
      </c>
      <c r="L16" s="317">
        <f>5/200</f>
        <v>2.5000000000000001E-2</v>
      </c>
      <c r="M16" s="321">
        <v>0</v>
      </c>
      <c r="N16" s="321">
        <v>0</v>
      </c>
      <c r="O16" s="211">
        <f t="shared" si="0"/>
        <v>2.4925768025078368</v>
      </c>
      <c r="P16" s="249">
        <f>O16*1.1</f>
        <v>2.7418344827586205</v>
      </c>
      <c r="Q16" s="318"/>
    </row>
    <row r="17" spans="1:17" ht="16.5" customHeight="1" x14ac:dyDescent="0.25">
      <c r="A17" s="320" t="s">
        <v>478</v>
      </c>
      <c r="B17" s="321">
        <v>145</v>
      </c>
      <c r="C17" s="322">
        <v>11</v>
      </c>
      <c r="D17" s="323" t="s">
        <v>479</v>
      </c>
      <c r="E17" s="312">
        <f>341/500</f>
        <v>0.68200000000000005</v>
      </c>
      <c r="F17" s="313">
        <f>327/500</f>
        <v>0.65400000000000003</v>
      </c>
      <c r="G17" s="314">
        <f>59/200</f>
        <v>0.29499999999999998</v>
      </c>
      <c r="H17" s="321">
        <v>0</v>
      </c>
      <c r="I17" s="321">
        <v>0</v>
      </c>
      <c r="J17" s="321">
        <v>0</v>
      </c>
      <c r="K17" s="321">
        <v>0</v>
      </c>
      <c r="L17" s="321">
        <v>0</v>
      </c>
      <c r="M17" s="321">
        <v>0</v>
      </c>
      <c r="N17" s="321">
        <v>0</v>
      </c>
      <c r="O17" s="211">
        <f t="shared" si="0"/>
        <v>1.631</v>
      </c>
      <c r="P17" s="249">
        <f>O17</f>
        <v>1.631</v>
      </c>
      <c r="Q17" s="318"/>
    </row>
    <row r="18" spans="1:17" ht="16.5" customHeight="1" x14ac:dyDescent="0.25">
      <c r="A18" s="320" t="s">
        <v>480</v>
      </c>
      <c r="B18" s="321">
        <v>171</v>
      </c>
      <c r="C18" s="322">
        <v>8</v>
      </c>
      <c r="D18" s="328" t="s">
        <v>481</v>
      </c>
      <c r="E18" s="312">
        <f>323/500</f>
        <v>0.64600000000000002</v>
      </c>
      <c r="F18" s="313">
        <f>250/500</f>
        <v>0.5</v>
      </c>
      <c r="G18" s="314">
        <f>9/200</f>
        <v>4.4999999999999998E-2</v>
      </c>
      <c r="H18" s="321">
        <f>0/145</f>
        <v>0</v>
      </c>
      <c r="I18" s="246">
        <f>9/24</f>
        <v>0.375</v>
      </c>
      <c r="J18" s="321">
        <v>0</v>
      </c>
      <c r="K18" s="321">
        <v>0</v>
      </c>
      <c r="L18" s="321">
        <v>0</v>
      </c>
      <c r="M18" s="321">
        <v>0</v>
      </c>
      <c r="N18" s="321">
        <v>0</v>
      </c>
      <c r="O18" s="211">
        <f t="shared" si="0"/>
        <v>1.5659999999999998</v>
      </c>
      <c r="P18" s="249">
        <f>O18*1.2</f>
        <v>1.8791999999999998</v>
      </c>
      <c r="Q18" s="318"/>
    </row>
    <row r="19" spans="1:17" ht="16.5" customHeight="1" x14ac:dyDescent="0.25">
      <c r="A19" s="320" t="s">
        <v>482</v>
      </c>
      <c r="B19" s="321" t="s">
        <v>483</v>
      </c>
      <c r="C19" s="322">
        <v>9</v>
      </c>
      <c r="D19" s="323" t="s">
        <v>484</v>
      </c>
      <c r="E19" s="312">
        <f>330/500</f>
        <v>0.66</v>
      </c>
      <c r="F19" s="313">
        <f>200/500</f>
        <v>0.4</v>
      </c>
      <c r="G19" s="314">
        <v>0</v>
      </c>
      <c r="H19" s="321">
        <v>0</v>
      </c>
      <c r="I19" s="321">
        <v>0</v>
      </c>
      <c r="J19" s="321">
        <v>0</v>
      </c>
      <c r="K19" s="321">
        <v>0</v>
      </c>
      <c r="L19" s="321">
        <v>0</v>
      </c>
      <c r="M19" s="321">
        <v>0</v>
      </c>
      <c r="N19" s="321">
        <v>0</v>
      </c>
      <c r="O19" s="211">
        <f t="shared" si="0"/>
        <v>1.06</v>
      </c>
      <c r="P19" s="249">
        <f>O19*1.2</f>
        <v>1.272</v>
      </c>
      <c r="Q19" s="318"/>
    </row>
  </sheetData>
  <autoFilter ref="A1:Q1"/>
  <hyperlinks>
    <hyperlink ref="D4" r:id="rId1"/>
    <hyperlink ref="D5" r:id="rId2"/>
    <hyperlink ref="D7" r:id="rId3"/>
    <hyperlink ref="D8" r:id="rId4"/>
    <hyperlink ref="D12" r:id="rId5"/>
    <hyperlink ref="D15" r:id="rId6"/>
    <hyperlink ref="D16" r:id="rId7"/>
    <hyperlink ref="D17" r:id="rId8"/>
    <hyperlink ref="D19" r:id="rId9"/>
  </hyperlinks>
  <pageMargins left="0.7" right="0.7" top="0.75" bottom="0.75" header="0.51180555555555496" footer="0.51180555555555496"/>
  <pageSetup firstPageNumber="0" orientation="portrait" horizontalDpi="300" verticalDpi="300"/>
  <legacyDrawing r:id="rId1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38"/>
  <sheetViews>
    <sheetView topLeftCell="A4" zoomScale="150" zoomScaleNormal="150" workbookViewId="0">
      <selection activeCell="O1" sqref="O1"/>
    </sheetView>
  </sheetViews>
  <sheetFormatPr defaultColWidth="9.140625" defaultRowHeight="15.75" x14ac:dyDescent="0.25"/>
  <cols>
    <col min="1" max="1" width="35" style="286" customWidth="1"/>
    <col min="2" max="2" width="4" style="250" customWidth="1"/>
    <col min="3" max="3" width="3.85546875" style="250" customWidth="1"/>
    <col min="4" max="4" width="40.140625" style="250" hidden="1" customWidth="1"/>
    <col min="5" max="6" width="6.7109375" style="250" customWidth="1"/>
    <col min="7" max="8" width="6.7109375" style="318" customWidth="1"/>
    <col min="9" max="9" width="6.7109375" style="286" customWidth="1"/>
    <col min="10" max="10" width="6.7109375" style="318" customWidth="1"/>
    <col min="11" max="11" width="6.7109375" style="250" customWidth="1"/>
    <col min="12" max="13" width="6.7109375" style="318" customWidth="1"/>
    <col min="14" max="14" width="7.5703125" style="250" customWidth="1"/>
    <col min="15" max="15" width="6.7109375" style="318" customWidth="1"/>
    <col min="16" max="16" width="6.7109375" style="250" customWidth="1"/>
    <col min="17" max="1024" width="9.140625" style="318"/>
  </cols>
  <sheetData>
    <row r="1" spans="1:17" ht="61.5" customHeight="1" x14ac:dyDescent="0.25">
      <c r="A1" s="205" t="s">
        <v>119</v>
      </c>
      <c r="B1" s="204" t="s">
        <v>2</v>
      </c>
      <c r="C1" s="204" t="s">
        <v>1</v>
      </c>
      <c r="D1" s="310"/>
      <c r="E1" s="205" t="s">
        <v>351</v>
      </c>
      <c r="F1" s="205" t="s">
        <v>352</v>
      </c>
      <c r="G1" s="206" t="s">
        <v>326</v>
      </c>
      <c r="H1" s="206" t="s">
        <v>262</v>
      </c>
      <c r="I1" s="205" t="s">
        <v>328</v>
      </c>
      <c r="J1" s="206" t="s">
        <v>485</v>
      </c>
      <c r="K1" s="206" t="s">
        <v>452</v>
      </c>
      <c r="L1" s="206" t="s">
        <v>486</v>
      </c>
      <c r="M1" s="206" t="s">
        <v>454</v>
      </c>
      <c r="N1" s="206" t="s">
        <v>487</v>
      </c>
      <c r="O1" s="206" t="s">
        <v>397</v>
      </c>
      <c r="P1" s="206" t="s">
        <v>3</v>
      </c>
      <c r="Q1" s="206" t="s">
        <v>4</v>
      </c>
    </row>
    <row r="2" spans="1:17" ht="16.5" customHeight="1" x14ac:dyDescent="0.25">
      <c r="A2" s="329" t="s">
        <v>480</v>
      </c>
      <c r="B2" s="246">
        <v>171</v>
      </c>
      <c r="C2" s="330">
        <v>9</v>
      </c>
      <c r="D2" s="327" t="s">
        <v>488</v>
      </c>
      <c r="E2" s="280">
        <f>151/300</f>
        <v>0.5033333333333333</v>
      </c>
      <c r="F2" s="280">
        <f>122/300</f>
        <v>0.40666666666666668</v>
      </c>
      <c r="G2" s="280">
        <f>52/82</f>
        <v>0.63414634146341464</v>
      </c>
      <c r="H2" s="331">
        <v>1</v>
      </c>
      <c r="I2" s="331">
        <v>1</v>
      </c>
      <c r="J2" s="331">
        <v>1</v>
      </c>
      <c r="K2" s="331">
        <v>1</v>
      </c>
      <c r="L2" s="331">
        <v>1</v>
      </c>
      <c r="M2" s="331">
        <v>1</v>
      </c>
      <c r="N2" s="331">
        <v>1</v>
      </c>
      <c r="O2" s="211">
        <f t="shared" ref="O2:O17" si="0">SUM(E2:N2)-MIN(E2:N2)</f>
        <v>8.1374796747967473</v>
      </c>
      <c r="P2" s="249">
        <f>O2*1.2</f>
        <v>9.764975609756096</v>
      </c>
      <c r="Q2" s="318" t="s">
        <v>103</v>
      </c>
    </row>
    <row r="3" spans="1:17" ht="16.5" customHeight="1" x14ac:dyDescent="0.25">
      <c r="A3" s="329" t="s">
        <v>489</v>
      </c>
      <c r="B3" s="290">
        <v>208</v>
      </c>
      <c r="C3" s="260">
        <v>9</v>
      </c>
      <c r="D3" s="327" t="s">
        <v>459</v>
      </c>
      <c r="E3" s="280">
        <f>265/300</f>
        <v>0.8833333333333333</v>
      </c>
      <c r="F3" s="280">
        <f>220/300</f>
        <v>0.73333333333333328</v>
      </c>
      <c r="G3" s="280">
        <f>60/82</f>
        <v>0.73170731707317072</v>
      </c>
      <c r="H3" s="332">
        <f>4/13</f>
        <v>0.30769230769230771</v>
      </c>
      <c r="I3" s="279">
        <f>23/24</f>
        <v>0.95833333333333337</v>
      </c>
      <c r="J3" s="332">
        <f>20/29</f>
        <v>0.68965517241379315</v>
      </c>
      <c r="K3" s="331">
        <v>1</v>
      </c>
      <c r="L3" s="331">
        <v>1</v>
      </c>
      <c r="M3" s="316">
        <f>185/200</f>
        <v>0.92500000000000004</v>
      </c>
      <c r="N3" s="290">
        <f>0/13</f>
        <v>0</v>
      </c>
      <c r="O3" s="211">
        <f t="shared" si="0"/>
        <v>7.2290547971792716</v>
      </c>
      <c r="P3" s="249">
        <f>O3*1.2</f>
        <v>8.6748657566151248</v>
      </c>
      <c r="Q3" s="318" t="s">
        <v>103</v>
      </c>
    </row>
    <row r="4" spans="1:17" ht="16.5" customHeight="1" x14ac:dyDescent="0.25">
      <c r="A4" s="329" t="s">
        <v>463</v>
      </c>
      <c r="B4" s="246">
        <v>145</v>
      </c>
      <c r="C4" s="330">
        <v>11</v>
      </c>
      <c r="D4" s="327" t="s">
        <v>464</v>
      </c>
      <c r="E4" s="280">
        <f>260/300</f>
        <v>0.8666666666666667</v>
      </c>
      <c r="F4" s="280">
        <f>126/300</f>
        <v>0.42</v>
      </c>
      <c r="G4" s="280">
        <f>58/82</f>
        <v>0.70731707317073167</v>
      </c>
      <c r="H4" s="333">
        <v>1</v>
      </c>
      <c r="I4" s="280">
        <f>15/24</f>
        <v>0.625</v>
      </c>
      <c r="J4" s="331">
        <v>1</v>
      </c>
      <c r="K4" s="331">
        <v>1</v>
      </c>
      <c r="L4" s="331">
        <v>1</v>
      </c>
      <c r="M4" s="331">
        <v>1</v>
      </c>
      <c r="N4" s="331">
        <v>1</v>
      </c>
      <c r="O4" s="211">
        <f t="shared" si="0"/>
        <v>8.1989837398373986</v>
      </c>
      <c r="P4" s="249">
        <f>O4</f>
        <v>8.1989837398373986</v>
      </c>
      <c r="Q4" s="318" t="s">
        <v>103</v>
      </c>
    </row>
    <row r="5" spans="1:17" ht="16.5" customHeight="1" x14ac:dyDescent="0.25">
      <c r="A5" s="329" t="s">
        <v>490</v>
      </c>
      <c r="B5" s="246">
        <v>171</v>
      </c>
      <c r="C5" s="330">
        <v>8</v>
      </c>
      <c r="D5" s="327" t="s">
        <v>491</v>
      </c>
      <c r="E5" s="280">
        <f>112/300</f>
        <v>0.37333333333333335</v>
      </c>
      <c r="F5" s="280">
        <f>101/300</f>
        <v>0.33666666666666667</v>
      </c>
      <c r="G5" s="280">
        <f>44/82</f>
        <v>0.53658536585365857</v>
      </c>
      <c r="H5" s="332">
        <f>7/13</f>
        <v>0.53846153846153844</v>
      </c>
      <c r="I5" s="331">
        <v>1</v>
      </c>
      <c r="J5" s="331">
        <v>1</v>
      </c>
      <c r="K5" s="331">
        <v>1</v>
      </c>
      <c r="L5" s="331">
        <v>1</v>
      </c>
      <c r="M5" s="334">
        <f>2/200</f>
        <v>0.01</v>
      </c>
      <c r="N5" s="331">
        <v>1</v>
      </c>
      <c r="O5" s="211">
        <f t="shared" si="0"/>
        <v>6.7850469043151964</v>
      </c>
      <c r="P5" s="249">
        <f>O5*1.2</f>
        <v>8.142056285178235</v>
      </c>
      <c r="Q5" s="318" t="s">
        <v>103</v>
      </c>
    </row>
    <row r="6" spans="1:17" ht="16.5" customHeight="1" x14ac:dyDescent="0.25">
      <c r="A6" s="329" t="s">
        <v>476</v>
      </c>
      <c r="B6" s="246">
        <v>145</v>
      </c>
      <c r="C6" s="330">
        <v>11</v>
      </c>
      <c r="D6" s="327" t="s">
        <v>477</v>
      </c>
      <c r="E6" s="280">
        <f>209/300</f>
        <v>0.69666666666666666</v>
      </c>
      <c r="F6" s="280">
        <f>151/300</f>
        <v>0.5033333333333333</v>
      </c>
      <c r="G6" s="331">
        <v>1</v>
      </c>
      <c r="H6" s="332">
        <f>12/13</f>
        <v>0.92307692307692313</v>
      </c>
      <c r="I6" s="331">
        <v>1</v>
      </c>
      <c r="J6" s="279">
        <f>26/29</f>
        <v>0.89655172413793105</v>
      </c>
      <c r="K6" s="319">
        <f>245/300</f>
        <v>0.81666666666666665</v>
      </c>
      <c r="L6" s="316">
        <f>175/200</f>
        <v>0.875</v>
      </c>
      <c r="M6" s="316">
        <f>175/200</f>
        <v>0.875</v>
      </c>
      <c r="N6" s="331">
        <v>1</v>
      </c>
      <c r="O6" s="211">
        <f t="shared" si="0"/>
        <v>8.0829619805481876</v>
      </c>
      <c r="P6" s="249">
        <f>O6</f>
        <v>8.0829619805481876</v>
      </c>
      <c r="Q6" s="318" t="s">
        <v>103</v>
      </c>
    </row>
    <row r="7" spans="1:17" ht="16.5" customHeight="1" x14ac:dyDescent="0.25">
      <c r="A7" s="329" t="s">
        <v>492</v>
      </c>
      <c r="B7" s="246">
        <v>145</v>
      </c>
      <c r="C7" s="330">
        <v>11</v>
      </c>
      <c r="D7" s="327" t="s">
        <v>467</v>
      </c>
      <c r="E7" s="280">
        <f>265/300</f>
        <v>0.8833333333333333</v>
      </c>
      <c r="F7" s="280">
        <f>147/300</f>
        <v>0.49</v>
      </c>
      <c r="G7" s="280">
        <f>56/82</f>
        <v>0.68292682926829273</v>
      </c>
      <c r="H7" s="332">
        <f>9/13</f>
        <v>0.69230769230769229</v>
      </c>
      <c r="I7" s="280">
        <f>16/24</f>
        <v>0.66666666666666663</v>
      </c>
      <c r="J7" s="331">
        <v>1</v>
      </c>
      <c r="K7" s="331">
        <v>1</v>
      </c>
      <c r="L7" s="331">
        <v>1</v>
      </c>
      <c r="M7" s="331">
        <v>1</v>
      </c>
      <c r="N7" s="331">
        <v>1</v>
      </c>
      <c r="O7" s="211">
        <f t="shared" si="0"/>
        <v>7.9252345215759838</v>
      </c>
      <c r="P7" s="249">
        <f>O7</f>
        <v>7.9252345215759838</v>
      </c>
    </row>
    <row r="8" spans="1:17" ht="16.5" customHeight="1" x14ac:dyDescent="0.25">
      <c r="A8" s="329" t="s">
        <v>493</v>
      </c>
      <c r="B8" s="246">
        <v>171</v>
      </c>
      <c r="C8" s="330">
        <v>10</v>
      </c>
      <c r="D8" s="327" t="s">
        <v>494</v>
      </c>
      <c r="E8" s="280">
        <f>70/300</f>
        <v>0.23333333333333334</v>
      </c>
      <c r="F8" s="280">
        <f>111/300</f>
        <v>0.37</v>
      </c>
      <c r="G8" s="280">
        <f>20/82</f>
        <v>0.24390243902439024</v>
      </c>
      <c r="H8" s="332">
        <f>6/13</f>
        <v>0.46153846153846156</v>
      </c>
      <c r="I8" s="332">
        <f>13.5/24</f>
        <v>0.5625</v>
      </c>
      <c r="J8" s="331">
        <v>1</v>
      </c>
      <c r="K8" s="331">
        <v>1</v>
      </c>
      <c r="L8" s="331">
        <v>1</v>
      </c>
      <c r="M8" s="331">
        <v>1</v>
      </c>
      <c r="N8" s="331">
        <v>1</v>
      </c>
      <c r="O8" s="211">
        <f t="shared" si="0"/>
        <v>6.6379409005628522</v>
      </c>
      <c r="P8" s="249">
        <f>O8*1.1</f>
        <v>7.3017349906191384</v>
      </c>
      <c r="Q8" s="318" t="s">
        <v>103</v>
      </c>
    </row>
    <row r="9" spans="1:17" ht="16.5" customHeight="1" x14ac:dyDescent="0.25">
      <c r="A9" s="329" t="s">
        <v>495</v>
      </c>
      <c r="B9" s="246">
        <v>145</v>
      </c>
      <c r="C9" s="330">
        <v>10</v>
      </c>
      <c r="D9" s="327" t="s">
        <v>496</v>
      </c>
      <c r="E9" s="280">
        <f>163/300</f>
        <v>0.54333333333333333</v>
      </c>
      <c r="F9" s="280">
        <f>103/300</f>
        <v>0.34333333333333332</v>
      </c>
      <c r="G9" s="280">
        <f>46/82</f>
        <v>0.56097560975609762</v>
      </c>
      <c r="H9" s="332">
        <f>6/13</f>
        <v>0.46153846153846156</v>
      </c>
      <c r="I9" s="279">
        <f>20/24</f>
        <v>0.83333333333333337</v>
      </c>
      <c r="J9" s="280">
        <f>5/29</f>
        <v>0.17241379310344829</v>
      </c>
      <c r="K9" s="280">
        <f>160/300</f>
        <v>0.53333333333333333</v>
      </c>
      <c r="L9" s="331">
        <v>1</v>
      </c>
      <c r="M9" s="290">
        <f>0/13</f>
        <v>0</v>
      </c>
      <c r="N9" s="246">
        <f>195/200</f>
        <v>0.97499999999999998</v>
      </c>
      <c r="O9" s="211">
        <f t="shared" si="0"/>
        <v>5.4232611977313407</v>
      </c>
      <c r="P9" s="249">
        <f>O9*1.1</f>
        <v>5.9655873175044754</v>
      </c>
      <c r="Q9" s="318" t="s">
        <v>103</v>
      </c>
    </row>
    <row r="10" spans="1:17" ht="16.5" customHeight="1" x14ac:dyDescent="0.25">
      <c r="A10" s="329" t="s">
        <v>471</v>
      </c>
      <c r="B10" s="290" t="s">
        <v>6</v>
      </c>
      <c r="C10" s="260">
        <v>11</v>
      </c>
      <c r="D10" s="327" t="s">
        <v>472</v>
      </c>
      <c r="E10" s="280">
        <f>137/300</f>
        <v>0.45666666666666667</v>
      </c>
      <c r="F10" s="280">
        <f>123/300</f>
        <v>0.41</v>
      </c>
      <c r="G10" s="280">
        <f>38/82</f>
        <v>0.46341463414634149</v>
      </c>
      <c r="H10" s="332">
        <f>6/13</f>
        <v>0.46153846153846156</v>
      </c>
      <c r="I10" s="279">
        <f>22/24</f>
        <v>0.91666666666666663</v>
      </c>
      <c r="J10" s="332">
        <f>8/29</f>
        <v>0.27586206896551724</v>
      </c>
      <c r="K10" s="319">
        <f>299/300</f>
        <v>0.9966666666666667</v>
      </c>
      <c r="L10" s="290">
        <f>145/200</f>
        <v>0.72499999999999998</v>
      </c>
      <c r="M10" s="332">
        <f>64/200</f>
        <v>0.32</v>
      </c>
      <c r="N10" s="331">
        <v>1</v>
      </c>
      <c r="O10" s="211">
        <f t="shared" si="0"/>
        <v>5.7499530956848037</v>
      </c>
      <c r="P10" s="249">
        <f>O10</f>
        <v>5.7499530956848037</v>
      </c>
    </row>
    <row r="11" spans="1:17" ht="16.5" customHeight="1" x14ac:dyDescent="0.25">
      <c r="A11" s="329" t="s">
        <v>449</v>
      </c>
      <c r="B11" s="290" t="s">
        <v>6</v>
      </c>
      <c r="C11" s="260">
        <v>10</v>
      </c>
      <c r="D11" s="327" t="s">
        <v>469</v>
      </c>
      <c r="E11" s="280">
        <f>107/300</f>
        <v>0.35666666666666669</v>
      </c>
      <c r="F11" s="280">
        <f>122/300</f>
        <v>0.40666666666666668</v>
      </c>
      <c r="G11" s="280">
        <f>42/82</f>
        <v>0.51219512195121952</v>
      </c>
      <c r="H11" s="332">
        <f>3/13</f>
        <v>0.23076923076923078</v>
      </c>
      <c r="I11" s="279">
        <f>19/24</f>
        <v>0.79166666666666663</v>
      </c>
      <c r="J11" s="280">
        <f>8/29</f>
        <v>0.27586206896551724</v>
      </c>
      <c r="K11" s="279">
        <f>230/300</f>
        <v>0.76666666666666672</v>
      </c>
      <c r="L11" s="316">
        <f>195/200</f>
        <v>0.97499999999999998</v>
      </c>
      <c r="M11" s="334">
        <f>110/200</f>
        <v>0.55000000000000004</v>
      </c>
      <c r="N11" s="246">
        <f>115/200</f>
        <v>0.57499999999999996</v>
      </c>
      <c r="O11" s="211">
        <f t="shared" si="0"/>
        <v>5.2097238575834037</v>
      </c>
      <c r="P11" s="249">
        <f>O11*1.1</f>
        <v>5.730696243341745</v>
      </c>
    </row>
    <row r="12" spans="1:17" ht="16.5" customHeight="1" x14ac:dyDescent="0.25">
      <c r="A12" s="329" t="s">
        <v>497</v>
      </c>
      <c r="B12" s="290" t="s">
        <v>6</v>
      </c>
      <c r="C12" s="260">
        <v>11</v>
      </c>
      <c r="D12" s="327" t="s">
        <v>472</v>
      </c>
      <c r="E12" s="280">
        <f>154/300</f>
        <v>0.51333333333333331</v>
      </c>
      <c r="F12" s="280">
        <f>93/300</f>
        <v>0.31</v>
      </c>
      <c r="G12" s="280">
        <f>29/82</f>
        <v>0.35365853658536583</v>
      </c>
      <c r="H12" s="332">
        <f>7/13</f>
        <v>0.53846153846153844</v>
      </c>
      <c r="I12" s="332">
        <f>15/22</f>
        <v>0.68181818181818177</v>
      </c>
      <c r="J12" s="332">
        <f>8/29</f>
        <v>0.27586206896551724</v>
      </c>
      <c r="K12" s="331">
        <v>1</v>
      </c>
      <c r="L12" s="290">
        <f>50/200</f>
        <v>0.25</v>
      </c>
      <c r="M12" s="332">
        <f>74/200</f>
        <v>0.37</v>
      </c>
      <c r="N12" s="331">
        <v>1</v>
      </c>
      <c r="O12" s="211">
        <f t="shared" si="0"/>
        <v>5.043133659163936</v>
      </c>
      <c r="P12" s="249">
        <f>O12</f>
        <v>5.043133659163936</v>
      </c>
    </row>
    <row r="13" spans="1:17" ht="16.5" customHeight="1" x14ac:dyDescent="0.25">
      <c r="A13" s="329" t="s">
        <v>498</v>
      </c>
      <c r="B13" s="290" t="s">
        <v>400</v>
      </c>
      <c r="C13" s="260">
        <v>10</v>
      </c>
      <c r="D13" s="327" t="s">
        <v>499</v>
      </c>
      <c r="E13" s="280">
        <f>159/300</f>
        <v>0.53</v>
      </c>
      <c r="F13" s="280">
        <f>84/300</f>
        <v>0.28000000000000003</v>
      </c>
      <c r="G13" s="280">
        <f>39/82</f>
        <v>0.47560975609756095</v>
      </c>
      <c r="H13" s="332">
        <f>6/13</f>
        <v>0.46153846153846156</v>
      </c>
      <c r="I13" s="280">
        <f>13/24</f>
        <v>0.54166666666666663</v>
      </c>
      <c r="J13" s="280">
        <f>7/29</f>
        <v>0.2413793103448276</v>
      </c>
      <c r="K13" s="332">
        <f>131/300</f>
        <v>0.43666666666666665</v>
      </c>
      <c r="L13" s="334">
        <f>30/200</f>
        <v>0.15</v>
      </c>
      <c r="M13" s="334">
        <f>16/200</f>
        <v>0.08</v>
      </c>
      <c r="N13" s="246">
        <f>105/200</f>
        <v>0.52500000000000002</v>
      </c>
      <c r="O13" s="211">
        <f t="shared" si="0"/>
        <v>3.641860861314183</v>
      </c>
      <c r="P13" s="249">
        <f>O13*1.1</f>
        <v>4.0060469474456015</v>
      </c>
    </row>
    <row r="14" spans="1:17" ht="16.5" customHeight="1" x14ac:dyDescent="0.25">
      <c r="A14" s="329" t="s">
        <v>500</v>
      </c>
      <c r="B14" s="246">
        <v>171</v>
      </c>
      <c r="C14" s="330">
        <v>11</v>
      </c>
      <c r="D14" s="327" t="s">
        <v>501</v>
      </c>
      <c r="E14" s="280">
        <f>151/300</f>
        <v>0.5033333333333333</v>
      </c>
      <c r="F14" s="280">
        <f>102/300</f>
        <v>0.34</v>
      </c>
      <c r="G14" s="280">
        <f>44/82</f>
        <v>0.53658536585365857</v>
      </c>
      <c r="H14" s="332">
        <f>6/13</f>
        <v>0.46153846153846156</v>
      </c>
      <c r="I14" s="279">
        <f>20/24</f>
        <v>0.83333333333333337</v>
      </c>
      <c r="J14" s="280">
        <f>8/29</f>
        <v>0.27586206896551724</v>
      </c>
      <c r="K14" s="280">
        <f>116/300</f>
        <v>0.38666666666666666</v>
      </c>
      <c r="L14" s="290">
        <f t="shared" ref="L14:N16" si="1">0/13</f>
        <v>0</v>
      </c>
      <c r="M14" s="290">
        <f t="shared" si="1"/>
        <v>0</v>
      </c>
      <c r="N14" s="290">
        <f t="shared" si="1"/>
        <v>0</v>
      </c>
      <c r="O14" s="211">
        <f t="shared" si="0"/>
        <v>3.3373192296909711</v>
      </c>
      <c r="P14" s="249">
        <f>O14</f>
        <v>3.3373192296909711</v>
      </c>
    </row>
    <row r="15" spans="1:17" ht="16.5" customHeight="1" x14ac:dyDescent="0.25">
      <c r="A15" s="329" t="s">
        <v>502</v>
      </c>
      <c r="B15" s="246">
        <v>145</v>
      </c>
      <c r="C15" s="330">
        <v>9</v>
      </c>
      <c r="D15" s="327" t="s">
        <v>503</v>
      </c>
      <c r="E15" s="280">
        <f>127.5/300</f>
        <v>0.42499999999999999</v>
      </c>
      <c r="F15" s="280">
        <f>55/300</f>
        <v>0.18333333333333332</v>
      </c>
      <c r="G15" s="280">
        <f>20/82</f>
        <v>0.24390243902439024</v>
      </c>
      <c r="H15" s="332">
        <f>6/13</f>
        <v>0.46153846153846156</v>
      </c>
      <c r="I15" s="280">
        <f>5/24</f>
        <v>0.20833333333333334</v>
      </c>
      <c r="J15" s="290">
        <f>0/13</f>
        <v>0</v>
      </c>
      <c r="K15" s="290">
        <f>0/13</f>
        <v>0</v>
      </c>
      <c r="L15" s="290">
        <f t="shared" si="1"/>
        <v>0</v>
      </c>
      <c r="M15" s="290">
        <f t="shared" si="1"/>
        <v>0</v>
      </c>
      <c r="N15" s="290">
        <f t="shared" si="1"/>
        <v>0</v>
      </c>
      <c r="O15" s="211">
        <f t="shared" si="0"/>
        <v>1.5221075672295183</v>
      </c>
      <c r="P15" s="249">
        <f>O15*1.2</f>
        <v>1.826529080675422</v>
      </c>
    </row>
    <row r="16" spans="1:17" ht="16.5" customHeight="1" x14ac:dyDescent="0.25">
      <c r="A16" s="335" t="s">
        <v>504</v>
      </c>
      <c r="B16" s="290" t="s">
        <v>407</v>
      </c>
      <c r="C16" s="247">
        <v>10</v>
      </c>
      <c r="D16" s="327" t="s">
        <v>505</v>
      </c>
      <c r="E16" s="280">
        <f>87/300</f>
        <v>0.28999999999999998</v>
      </c>
      <c r="F16" s="280">
        <f>58/300</f>
        <v>0.19333333333333333</v>
      </c>
      <c r="G16" s="280">
        <f>19/82</f>
        <v>0.23170731707317074</v>
      </c>
      <c r="H16" s="332">
        <f>2/13</f>
        <v>0.15384615384615385</v>
      </c>
      <c r="I16" s="290">
        <f>0/13</f>
        <v>0</v>
      </c>
      <c r="J16" s="290">
        <f>0/13</f>
        <v>0</v>
      </c>
      <c r="K16" s="290">
        <f>0/13</f>
        <v>0</v>
      </c>
      <c r="L16" s="290">
        <f t="shared" si="1"/>
        <v>0</v>
      </c>
      <c r="M16" s="290">
        <f t="shared" si="1"/>
        <v>0</v>
      </c>
      <c r="N16" s="290">
        <f t="shared" si="1"/>
        <v>0</v>
      </c>
      <c r="O16" s="211">
        <f t="shared" si="0"/>
        <v>0.86888680425265785</v>
      </c>
      <c r="P16" s="249">
        <f>O16*1.1</f>
        <v>0.95577548467792373</v>
      </c>
    </row>
    <row r="17" spans="1:16" ht="16.5" customHeight="1" x14ac:dyDescent="0.25">
      <c r="A17" s="336" t="s">
        <v>506</v>
      </c>
      <c r="B17" s="290" t="s">
        <v>407</v>
      </c>
      <c r="C17" s="246">
        <v>10</v>
      </c>
      <c r="D17" s="327" t="s">
        <v>507</v>
      </c>
      <c r="E17" s="280">
        <f>84/300</f>
        <v>0.28000000000000003</v>
      </c>
      <c r="F17" s="280">
        <f>55/300</f>
        <v>0.18333333333333332</v>
      </c>
      <c r="G17" s="280">
        <f>32/82</f>
        <v>0.3902439024390244</v>
      </c>
      <c r="H17" s="290">
        <f>0/13</f>
        <v>0</v>
      </c>
      <c r="I17" s="280"/>
      <c r="J17" s="246"/>
      <c r="K17" s="280"/>
      <c r="L17" s="334"/>
      <c r="M17" s="334"/>
      <c r="N17" s="246"/>
      <c r="O17" s="211">
        <f t="shared" si="0"/>
        <v>0.85357723577235778</v>
      </c>
      <c r="P17" s="249">
        <f>O17*1.1</f>
        <v>0.93893495934959359</v>
      </c>
    </row>
    <row r="23" spans="1:16" ht="16.5" customHeight="1" x14ac:dyDescent="0.25">
      <c r="I23" s="254"/>
    </row>
    <row r="24" spans="1:16" ht="16.5" customHeight="1" x14ac:dyDescent="0.25">
      <c r="I24" s="254"/>
    </row>
    <row r="25" spans="1:16" ht="16.5" customHeight="1" x14ac:dyDescent="0.25">
      <c r="I25" s="254"/>
    </row>
    <row r="26" spans="1:16" ht="16.5" customHeight="1" x14ac:dyDescent="0.25">
      <c r="I26" s="254"/>
    </row>
    <row r="27" spans="1:16" ht="16.5" customHeight="1" x14ac:dyDescent="0.25">
      <c r="I27" s="254"/>
    </row>
    <row r="28" spans="1:16" ht="16.5" customHeight="1" x14ac:dyDescent="0.25">
      <c r="I28" s="254"/>
    </row>
    <row r="29" spans="1:16" ht="16.5" customHeight="1" x14ac:dyDescent="0.25">
      <c r="I29" s="254"/>
    </row>
    <row r="30" spans="1:16" ht="16.5" customHeight="1" x14ac:dyDescent="0.25">
      <c r="I30" s="254"/>
    </row>
    <row r="31" spans="1:16" ht="16.5" customHeight="1" x14ac:dyDescent="0.25">
      <c r="I31" s="254"/>
    </row>
    <row r="32" spans="1:16" ht="16.5" customHeight="1" x14ac:dyDescent="0.25">
      <c r="I32" s="254"/>
    </row>
    <row r="33" spans="9:9" ht="16.5" customHeight="1" x14ac:dyDescent="0.25">
      <c r="I33" s="254"/>
    </row>
    <row r="34" spans="9:9" ht="16.5" customHeight="1" x14ac:dyDescent="0.25">
      <c r="I34" s="254"/>
    </row>
    <row r="35" spans="9:9" ht="16.5" customHeight="1" x14ac:dyDescent="0.25">
      <c r="I35" s="254"/>
    </row>
    <row r="36" spans="9:9" ht="16.5" customHeight="1" x14ac:dyDescent="0.25">
      <c r="I36" s="254"/>
    </row>
    <row r="37" spans="9:9" ht="16.5" customHeight="1" x14ac:dyDescent="0.25">
      <c r="I37" s="254"/>
    </row>
    <row r="38" spans="9:9" ht="16.5" customHeight="1" x14ac:dyDescent="0.25">
      <c r="I38" s="254"/>
    </row>
  </sheetData>
  <autoFilter ref="A1:Q17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topLeftCell="A8" zoomScaleNormal="100" workbookViewId="0">
      <selection activeCell="G12" sqref="G12"/>
    </sheetView>
  </sheetViews>
  <sheetFormatPr defaultColWidth="9.140625" defaultRowHeight="15.75" x14ac:dyDescent="0.25"/>
  <cols>
    <col min="1" max="1" width="22.85546875" style="10" customWidth="1"/>
    <col min="2" max="2" width="6.7109375" style="10" customWidth="1"/>
    <col min="3" max="3" width="4.5703125" style="10" customWidth="1"/>
    <col min="4" max="11" width="6.7109375" style="11" customWidth="1"/>
    <col min="12" max="12" width="6.7109375" style="10" customWidth="1"/>
    <col min="13" max="1024" width="9.140625" style="10"/>
  </cols>
  <sheetData>
    <row r="1" spans="1:13" s="15" customFormat="1" ht="15" customHeight="1" x14ac:dyDescent="0.25">
      <c r="A1" s="12" t="s">
        <v>94</v>
      </c>
      <c r="B1" s="13" t="s">
        <v>2</v>
      </c>
      <c r="C1" s="13" t="s">
        <v>1</v>
      </c>
      <c r="D1" s="14" t="s">
        <v>95</v>
      </c>
      <c r="E1" s="14" t="s">
        <v>96</v>
      </c>
      <c r="F1" s="14" t="s">
        <v>97</v>
      </c>
      <c r="G1" s="14" t="s">
        <v>98</v>
      </c>
      <c r="H1" s="14" t="s">
        <v>99</v>
      </c>
      <c r="I1" s="14" t="s">
        <v>100</v>
      </c>
      <c r="J1" s="14" t="s">
        <v>101</v>
      </c>
      <c r="K1" s="14" t="s">
        <v>102</v>
      </c>
      <c r="L1" s="12" t="s">
        <v>3</v>
      </c>
      <c r="M1" s="12" t="s">
        <v>4</v>
      </c>
    </row>
    <row r="2" spans="1:13" x14ac:dyDescent="0.25">
      <c r="A2" s="16" t="s">
        <v>5</v>
      </c>
      <c r="B2" s="16" t="s">
        <v>6</v>
      </c>
      <c r="C2" s="16">
        <v>11</v>
      </c>
      <c r="D2" s="17">
        <v>1</v>
      </c>
      <c r="E2" s="17">
        <v>1</v>
      </c>
      <c r="F2" s="17">
        <v>0.95</v>
      </c>
      <c r="G2" s="17">
        <v>1</v>
      </c>
      <c r="H2" s="17">
        <v>0.435</v>
      </c>
      <c r="I2" s="17">
        <v>1</v>
      </c>
      <c r="J2" s="17">
        <v>1</v>
      </c>
      <c r="K2" s="17">
        <v>0.96699999999999997</v>
      </c>
      <c r="L2" s="18">
        <f t="shared" ref="L2:L17" si="0">SUM(D2:K2,-MIN(D2:K2))</f>
        <v>6.9169999999999998</v>
      </c>
      <c r="M2" s="19" t="s">
        <v>103</v>
      </c>
    </row>
    <row r="3" spans="1:13" x14ac:dyDescent="0.25">
      <c r="A3" s="16" t="s">
        <v>38</v>
      </c>
      <c r="B3" s="16" t="s">
        <v>6</v>
      </c>
      <c r="C3" s="16">
        <v>11</v>
      </c>
      <c r="D3" s="17">
        <v>1</v>
      </c>
      <c r="E3" s="17">
        <v>0.18</v>
      </c>
      <c r="F3" s="17">
        <v>0.32500000000000001</v>
      </c>
      <c r="G3" s="17">
        <v>1</v>
      </c>
      <c r="H3" s="17">
        <v>0.56499999999999995</v>
      </c>
      <c r="I3" s="17">
        <v>1</v>
      </c>
      <c r="J3" s="17">
        <v>0.5</v>
      </c>
      <c r="K3" s="17">
        <v>0.9</v>
      </c>
      <c r="L3" s="18">
        <f t="shared" si="0"/>
        <v>5.2900000000000009</v>
      </c>
      <c r="M3" s="19" t="s">
        <v>103</v>
      </c>
    </row>
    <row r="4" spans="1:13" x14ac:dyDescent="0.25">
      <c r="A4" s="16" t="s">
        <v>104</v>
      </c>
      <c r="B4" s="16" t="s">
        <v>6</v>
      </c>
      <c r="C4" s="16">
        <v>11</v>
      </c>
      <c r="D4" s="17">
        <v>0.67300000000000004</v>
      </c>
      <c r="E4" s="17">
        <v>0.08</v>
      </c>
      <c r="F4" s="17">
        <v>0</v>
      </c>
      <c r="G4" s="17">
        <v>1</v>
      </c>
      <c r="H4" s="17">
        <v>0.41299999999999998</v>
      </c>
      <c r="I4" s="17">
        <v>0.71399999999999997</v>
      </c>
      <c r="J4" s="17">
        <v>0.44</v>
      </c>
      <c r="K4" s="17">
        <v>0.9</v>
      </c>
      <c r="L4" s="18">
        <f t="shared" si="0"/>
        <v>4.22</v>
      </c>
      <c r="M4" s="19" t="s">
        <v>103</v>
      </c>
    </row>
    <row r="5" spans="1:13" x14ac:dyDescent="0.25">
      <c r="A5" s="16" t="s">
        <v>105</v>
      </c>
      <c r="B5" s="16">
        <v>38</v>
      </c>
      <c r="C5" s="16">
        <v>11</v>
      </c>
      <c r="D5" s="17">
        <v>0.115</v>
      </c>
      <c r="E5" s="17">
        <v>0.12</v>
      </c>
      <c r="F5" s="17">
        <v>0.05</v>
      </c>
      <c r="G5" s="17">
        <v>1</v>
      </c>
      <c r="H5" s="17">
        <v>0.26100000000000001</v>
      </c>
      <c r="I5" s="17">
        <v>1</v>
      </c>
      <c r="J5" s="17">
        <v>0.42499999999999999</v>
      </c>
      <c r="K5" s="17">
        <v>0.76700000000000002</v>
      </c>
      <c r="L5" s="18">
        <f t="shared" si="0"/>
        <v>3.6879999999999997</v>
      </c>
      <c r="M5" s="19" t="s">
        <v>103</v>
      </c>
    </row>
    <row r="6" spans="1:13" x14ac:dyDescent="0.25">
      <c r="A6" s="16" t="s">
        <v>106</v>
      </c>
      <c r="B6" s="16">
        <v>171</v>
      </c>
      <c r="C6" s="16">
        <v>11</v>
      </c>
      <c r="D6" s="17">
        <v>0.192</v>
      </c>
      <c r="E6" s="17">
        <v>0.14000000000000001</v>
      </c>
      <c r="F6" s="17">
        <v>0.17499999999999999</v>
      </c>
      <c r="G6" s="17">
        <v>0.52500000000000002</v>
      </c>
      <c r="H6" s="17">
        <v>0.34799999999999998</v>
      </c>
      <c r="I6" s="17">
        <v>1</v>
      </c>
      <c r="J6" s="17">
        <v>0.625</v>
      </c>
      <c r="K6" s="17">
        <v>0.25</v>
      </c>
      <c r="L6" s="18">
        <f t="shared" si="0"/>
        <v>3.1149999999999998</v>
      </c>
      <c r="M6" s="19" t="s">
        <v>103</v>
      </c>
    </row>
    <row r="7" spans="1:13" x14ac:dyDescent="0.25">
      <c r="A7" s="16" t="s">
        <v>107</v>
      </c>
      <c r="B7" s="16">
        <v>38</v>
      </c>
      <c r="C7" s="16">
        <v>11</v>
      </c>
      <c r="D7" s="17">
        <v>3.7999999999999999E-2</v>
      </c>
      <c r="E7" s="17">
        <v>0.16</v>
      </c>
      <c r="F7" s="17">
        <v>0.05</v>
      </c>
      <c r="G7" s="17">
        <v>1</v>
      </c>
      <c r="H7" s="17">
        <v>0.26100000000000001</v>
      </c>
      <c r="I7" s="17">
        <v>0.42899999999999999</v>
      </c>
      <c r="J7" s="17">
        <v>0.1</v>
      </c>
      <c r="K7" s="17">
        <v>0.81699999999999995</v>
      </c>
      <c r="L7" s="18">
        <f t="shared" si="0"/>
        <v>2.8169999999999997</v>
      </c>
      <c r="M7" s="19" t="s">
        <v>103</v>
      </c>
    </row>
    <row r="8" spans="1:13" x14ac:dyDescent="0.25">
      <c r="A8" s="16" t="s">
        <v>108</v>
      </c>
      <c r="B8" s="16">
        <v>145</v>
      </c>
      <c r="C8" s="16">
        <v>11</v>
      </c>
      <c r="D8" s="17">
        <v>0</v>
      </c>
      <c r="E8" s="17">
        <v>0</v>
      </c>
      <c r="F8" s="17">
        <v>0.4</v>
      </c>
      <c r="G8" s="20">
        <v>1</v>
      </c>
      <c r="H8" s="17">
        <v>0.30399999999999999</v>
      </c>
      <c r="I8" s="20">
        <v>1</v>
      </c>
      <c r="J8" s="17">
        <v>0</v>
      </c>
      <c r="K8" s="17">
        <v>0</v>
      </c>
      <c r="L8" s="18">
        <f t="shared" si="0"/>
        <v>2.7039999999999997</v>
      </c>
      <c r="M8" s="19" t="s">
        <v>103</v>
      </c>
    </row>
    <row r="9" spans="1:13" x14ac:dyDescent="0.25">
      <c r="A9" s="16" t="s">
        <v>109</v>
      </c>
      <c r="B9" s="16">
        <v>171</v>
      </c>
      <c r="C9" s="16">
        <v>8</v>
      </c>
      <c r="D9" s="17">
        <v>0.154</v>
      </c>
      <c r="E9" s="17">
        <v>0.36</v>
      </c>
      <c r="F9" s="17">
        <v>0.375</v>
      </c>
      <c r="G9" s="20">
        <v>1</v>
      </c>
      <c r="H9" s="17">
        <v>0.26100000000000001</v>
      </c>
      <c r="I9" s="17">
        <v>0.42899999999999999</v>
      </c>
      <c r="J9" s="17" t="s">
        <v>78</v>
      </c>
      <c r="K9" s="17">
        <v>8.3000000000000004E-2</v>
      </c>
      <c r="L9" s="18">
        <f t="shared" si="0"/>
        <v>2.5789999999999997</v>
      </c>
      <c r="M9" s="19" t="s">
        <v>103</v>
      </c>
    </row>
    <row r="10" spans="1:13" x14ac:dyDescent="0.25">
      <c r="A10" s="16" t="s">
        <v>67</v>
      </c>
      <c r="B10" s="16">
        <v>171</v>
      </c>
      <c r="C10" s="16">
        <v>11</v>
      </c>
      <c r="D10" s="17">
        <v>3.7999999999999999E-2</v>
      </c>
      <c r="E10" s="17">
        <v>0.44</v>
      </c>
      <c r="F10" s="17">
        <v>0.15</v>
      </c>
      <c r="G10" s="17">
        <v>0.47499999999999998</v>
      </c>
      <c r="H10" s="17">
        <v>0.32600000000000001</v>
      </c>
      <c r="I10" s="17">
        <v>0</v>
      </c>
      <c r="J10" s="17">
        <v>0.17499999999999999</v>
      </c>
      <c r="K10" s="17">
        <v>0.5</v>
      </c>
      <c r="L10" s="18">
        <f t="shared" si="0"/>
        <v>2.1040000000000001</v>
      </c>
      <c r="M10" s="16"/>
    </row>
    <row r="11" spans="1:13" x14ac:dyDescent="0.25">
      <c r="A11" s="16" t="s">
        <v>110</v>
      </c>
      <c r="B11" s="16">
        <v>171</v>
      </c>
      <c r="C11" s="16">
        <v>9</v>
      </c>
      <c r="D11" s="17">
        <v>1.9E-2</v>
      </c>
      <c r="E11" s="17">
        <v>0.02</v>
      </c>
      <c r="F11" s="17">
        <v>0</v>
      </c>
      <c r="G11" s="17">
        <v>0.55000000000000004</v>
      </c>
      <c r="H11" s="17">
        <v>0.34799999999999998</v>
      </c>
      <c r="I11" s="17">
        <v>0.42899999999999999</v>
      </c>
      <c r="J11" s="17">
        <v>0.15</v>
      </c>
      <c r="K11" s="17">
        <v>8.3000000000000004E-2</v>
      </c>
      <c r="L11" s="18">
        <f t="shared" si="0"/>
        <v>1.599</v>
      </c>
      <c r="M11" s="16"/>
    </row>
    <row r="12" spans="1:13" x14ac:dyDescent="0.25">
      <c r="A12" s="16" t="s">
        <v>111</v>
      </c>
      <c r="B12" s="16">
        <v>178</v>
      </c>
      <c r="C12" s="16">
        <v>11</v>
      </c>
      <c r="D12" s="17">
        <v>0</v>
      </c>
      <c r="E12" s="17">
        <v>0.02</v>
      </c>
      <c r="F12" s="17">
        <v>0</v>
      </c>
      <c r="G12" s="20">
        <v>1</v>
      </c>
      <c r="H12" s="17">
        <v>0.34799999999999998</v>
      </c>
      <c r="I12" s="17">
        <v>0</v>
      </c>
      <c r="J12" s="17">
        <v>0.15</v>
      </c>
      <c r="K12" s="17">
        <v>3.3000000000000002E-2</v>
      </c>
      <c r="L12" s="18">
        <f t="shared" si="0"/>
        <v>1.5509999999999997</v>
      </c>
      <c r="M12" s="16"/>
    </row>
    <row r="13" spans="1:13" x14ac:dyDescent="0.25">
      <c r="A13" s="16" t="s">
        <v>112</v>
      </c>
      <c r="B13" s="16" t="s">
        <v>6</v>
      </c>
      <c r="C13" s="16">
        <v>9</v>
      </c>
      <c r="D13" s="17">
        <v>0</v>
      </c>
      <c r="E13" s="17">
        <v>0.08</v>
      </c>
      <c r="F13" s="17">
        <v>2.5000000000000001E-2</v>
      </c>
      <c r="G13" s="17">
        <v>0.5</v>
      </c>
      <c r="H13" s="17">
        <v>0.26100000000000001</v>
      </c>
      <c r="I13" s="17">
        <v>0.28499999999999998</v>
      </c>
      <c r="J13" s="17">
        <v>0.22500000000000001</v>
      </c>
      <c r="K13" s="17">
        <v>8.3000000000000004E-2</v>
      </c>
      <c r="L13" s="18">
        <f t="shared" si="0"/>
        <v>1.4590000000000001</v>
      </c>
      <c r="M13" s="16"/>
    </row>
    <row r="14" spans="1:13" x14ac:dyDescent="0.25">
      <c r="A14" s="16" t="s">
        <v>113</v>
      </c>
      <c r="B14" s="16">
        <v>171</v>
      </c>
      <c r="C14" s="16">
        <v>9</v>
      </c>
      <c r="D14" s="17">
        <v>0</v>
      </c>
      <c r="E14" s="17">
        <v>0</v>
      </c>
      <c r="F14" s="17">
        <v>0.15</v>
      </c>
      <c r="G14" s="17">
        <v>0.15</v>
      </c>
      <c r="H14" s="17">
        <v>0.152</v>
      </c>
      <c r="I14" s="17">
        <v>0.28499999999999998</v>
      </c>
      <c r="J14" s="17">
        <v>0</v>
      </c>
      <c r="K14" s="17">
        <v>8.3000000000000004E-2</v>
      </c>
      <c r="L14" s="18">
        <f t="shared" si="0"/>
        <v>0.81999999999999984</v>
      </c>
      <c r="M14" s="16"/>
    </row>
    <row r="15" spans="1:13" x14ac:dyDescent="0.25">
      <c r="A15" s="16" t="s">
        <v>114</v>
      </c>
      <c r="B15" s="16" t="s">
        <v>115</v>
      </c>
      <c r="C15" s="16">
        <v>11</v>
      </c>
      <c r="D15" s="17">
        <v>0</v>
      </c>
      <c r="E15" s="17">
        <v>0</v>
      </c>
      <c r="F15" s="17">
        <v>0</v>
      </c>
      <c r="G15" s="17">
        <v>0</v>
      </c>
      <c r="H15" s="17">
        <v>0.152</v>
      </c>
      <c r="I15" s="17">
        <v>0</v>
      </c>
      <c r="J15" s="17">
        <v>0.25</v>
      </c>
      <c r="K15" s="17">
        <v>0</v>
      </c>
      <c r="L15" s="18">
        <f t="shared" si="0"/>
        <v>0.40200000000000002</v>
      </c>
      <c r="M15" s="16"/>
    </row>
    <row r="16" spans="1:13" x14ac:dyDescent="0.25">
      <c r="A16" s="16" t="s">
        <v>116</v>
      </c>
      <c r="B16" s="16">
        <v>100</v>
      </c>
      <c r="C16" s="16">
        <v>10</v>
      </c>
      <c r="D16" s="17">
        <v>7.5999999999999998E-2</v>
      </c>
      <c r="E16" s="17">
        <v>0.08</v>
      </c>
      <c r="F16" s="17">
        <v>0</v>
      </c>
      <c r="G16" s="17">
        <v>0</v>
      </c>
      <c r="H16" s="17">
        <v>0.23899999999999999</v>
      </c>
      <c r="I16" s="17">
        <v>0</v>
      </c>
      <c r="J16" s="17"/>
      <c r="K16" s="17">
        <v>0</v>
      </c>
      <c r="L16" s="18">
        <f t="shared" si="0"/>
        <v>0.39500000000000002</v>
      </c>
      <c r="M16" s="16"/>
    </row>
    <row r="17" spans="1:13" x14ac:dyDescent="0.25">
      <c r="A17" s="16" t="s">
        <v>117</v>
      </c>
      <c r="B17" s="16">
        <v>171</v>
      </c>
      <c r="C17" s="16">
        <v>10</v>
      </c>
      <c r="D17" s="17">
        <v>0</v>
      </c>
      <c r="E17" s="17">
        <v>0.08</v>
      </c>
      <c r="F17" s="17">
        <v>0</v>
      </c>
      <c r="G17" s="17">
        <v>0</v>
      </c>
      <c r="H17" s="17">
        <v>4.8000000000000001E-2</v>
      </c>
      <c r="I17" s="17">
        <v>0</v>
      </c>
      <c r="J17" s="17">
        <v>0.25</v>
      </c>
      <c r="K17" s="17">
        <v>0</v>
      </c>
      <c r="L17" s="18">
        <f t="shared" si="0"/>
        <v>0.378</v>
      </c>
      <c r="M17" s="16"/>
    </row>
    <row r="19" spans="1:13" x14ac:dyDescent="0.25">
      <c r="A19" s="21"/>
    </row>
    <row r="20" spans="1:13" x14ac:dyDescent="0.25">
      <c r="A20" s="21"/>
    </row>
    <row r="21" spans="1:13" x14ac:dyDescent="0.25">
      <c r="A21" s="21"/>
    </row>
    <row r="22" spans="1:13" x14ac:dyDescent="0.25">
      <c r="A22" s="21"/>
    </row>
    <row r="23" spans="1:13" x14ac:dyDescent="0.25">
      <c r="A23" s="21"/>
    </row>
    <row r="24" spans="1:13" x14ac:dyDescent="0.25">
      <c r="A24" s="21"/>
    </row>
    <row r="25" spans="1:13" x14ac:dyDescent="0.25">
      <c r="M25" s="10" t="s">
        <v>118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7"/>
  <sheetViews>
    <sheetView zoomScale="150" zoomScaleNormal="150" workbookViewId="0">
      <selection activeCell="C19" sqref="C19"/>
    </sheetView>
  </sheetViews>
  <sheetFormatPr defaultColWidth="9.140625" defaultRowHeight="15.75" x14ac:dyDescent="0.25"/>
  <cols>
    <col min="1" max="1" width="13.85546875" style="318" customWidth="1"/>
    <col min="2" max="2" width="4.140625" style="318" customWidth="1"/>
    <col min="3" max="4" width="7.5703125" style="318" customWidth="1"/>
    <col min="5" max="9" width="5" style="318" customWidth="1"/>
    <col min="10" max="10" width="5.85546875" style="318" customWidth="1"/>
    <col min="11" max="11" width="8.42578125" style="318" customWidth="1"/>
    <col min="12" max="1024" width="9.140625" style="318"/>
  </cols>
  <sheetData>
    <row r="1" spans="1:11" s="206" customFormat="1" ht="32.25" customHeight="1" x14ac:dyDescent="0.2">
      <c r="A1" s="206" t="s">
        <v>0</v>
      </c>
      <c r="B1" s="337" t="s">
        <v>1</v>
      </c>
      <c r="C1" s="338" t="s">
        <v>508</v>
      </c>
      <c r="D1" s="338" t="s">
        <v>509</v>
      </c>
      <c r="E1" s="206">
        <v>1</v>
      </c>
      <c r="F1" s="206">
        <v>2</v>
      </c>
      <c r="G1" s="206">
        <v>3</v>
      </c>
      <c r="H1" s="206">
        <v>4</v>
      </c>
      <c r="I1" s="206" t="s">
        <v>397</v>
      </c>
      <c r="J1" s="206" t="s">
        <v>3</v>
      </c>
      <c r="K1" s="206" t="s">
        <v>4</v>
      </c>
    </row>
    <row r="2" spans="1:11" x14ac:dyDescent="0.25">
      <c r="A2" s="286" t="s">
        <v>510</v>
      </c>
      <c r="B2" s="318">
        <v>10</v>
      </c>
      <c r="C2" s="318">
        <v>0.83399999999999996</v>
      </c>
      <c r="D2" s="318">
        <v>0.88</v>
      </c>
      <c r="E2" s="318">
        <f>280/400</f>
        <v>0.7</v>
      </c>
      <c r="F2" s="318">
        <f>273/400</f>
        <v>0.6825</v>
      </c>
      <c r="G2" s="318">
        <f>328/400</f>
        <v>0.82</v>
      </c>
      <c r="H2" s="318">
        <f>353/400</f>
        <v>0.88249999999999995</v>
      </c>
      <c r="I2" s="318">
        <f t="shared" ref="I2:I17" si="0">SUM(C2:H2)-MIN(C2:H2)</f>
        <v>4.1164999999999994</v>
      </c>
      <c r="J2" s="318">
        <f>I2*1.1</f>
        <v>4.5281500000000001</v>
      </c>
      <c r="K2" s="250" t="s">
        <v>103</v>
      </c>
    </row>
    <row r="3" spans="1:11" x14ac:dyDescent="0.25">
      <c r="A3" s="286" t="s">
        <v>511</v>
      </c>
      <c r="B3" s="318">
        <v>10</v>
      </c>
      <c r="C3" s="318">
        <v>0.91</v>
      </c>
      <c r="D3" s="318">
        <v>0.92</v>
      </c>
      <c r="E3" s="318">
        <f>280/400</f>
        <v>0.7</v>
      </c>
      <c r="F3" s="318">
        <f>246/400</f>
        <v>0.61499999999999999</v>
      </c>
      <c r="G3" s="318">
        <f>258/400</f>
        <v>0.64500000000000002</v>
      </c>
      <c r="H3" s="318">
        <f>353/400</f>
        <v>0.88249999999999995</v>
      </c>
      <c r="I3" s="318">
        <f t="shared" si="0"/>
        <v>4.0575000000000001</v>
      </c>
      <c r="J3" s="318">
        <f>I3*1.1</f>
        <v>4.4632500000000004</v>
      </c>
      <c r="K3" s="250" t="s">
        <v>103</v>
      </c>
    </row>
    <row r="4" spans="1:11" x14ac:dyDescent="0.25">
      <c r="A4" s="286" t="s">
        <v>512</v>
      </c>
      <c r="B4" s="318">
        <v>9</v>
      </c>
      <c r="C4" s="318">
        <v>0.60799999999999998</v>
      </c>
      <c r="D4" s="318">
        <v>0.84</v>
      </c>
      <c r="E4" s="318">
        <f>154/400</f>
        <v>0.38500000000000001</v>
      </c>
      <c r="F4" s="318">
        <f>281/400</f>
        <v>0.70250000000000001</v>
      </c>
      <c r="G4" s="318">
        <f>282/400</f>
        <v>0.70499999999999996</v>
      </c>
      <c r="H4" s="318">
        <f>318/400</f>
        <v>0.79500000000000004</v>
      </c>
      <c r="I4" s="318">
        <f t="shared" si="0"/>
        <v>3.6505000000000001</v>
      </c>
      <c r="J4" s="318">
        <f>I4*1.2</f>
        <v>4.3806000000000003</v>
      </c>
      <c r="K4" s="250" t="s">
        <v>103</v>
      </c>
    </row>
    <row r="5" spans="1:11" x14ac:dyDescent="0.25">
      <c r="A5" s="286" t="s">
        <v>513</v>
      </c>
      <c r="B5" s="318">
        <v>10</v>
      </c>
      <c r="C5" s="318">
        <v>0.65600000000000003</v>
      </c>
      <c r="D5" s="318">
        <v>0.92</v>
      </c>
      <c r="E5" s="318">
        <f>280/400</f>
        <v>0.7</v>
      </c>
      <c r="F5" s="318">
        <f>246/400</f>
        <v>0.61499999999999999</v>
      </c>
      <c r="G5" s="318">
        <f>328/400</f>
        <v>0.82</v>
      </c>
      <c r="H5" s="318">
        <f>281/400</f>
        <v>0.70250000000000001</v>
      </c>
      <c r="I5" s="318">
        <f t="shared" si="0"/>
        <v>3.7984999999999998</v>
      </c>
      <c r="J5" s="318">
        <f>I5*1.1</f>
        <v>4.17835</v>
      </c>
      <c r="K5" s="250" t="s">
        <v>103</v>
      </c>
    </row>
    <row r="6" spans="1:11" x14ac:dyDescent="0.25">
      <c r="A6" s="286" t="s">
        <v>514</v>
      </c>
      <c r="B6" s="318">
        <v>9</v>
      </c>
      <c r="C6" s="318">
        <v>0.61199999999999999</v>
      </c>
      <c r="D6" s="318">
        <v>0.86</v>
      </c>
      <c r="E6" s="318">
        <f>156/400</f>
        <v>0.39</v>
      </c>
      <c r="F6" s="318">
        <f>245/400</f>
        <v>0.61250000000000004</v>
      </c>
      <c r="G6" s="318">
        <f>279/400</f>
        <v>0.69750000000000001</v>
      </c>
      <c r="H6" s="318">
        <f>269/400</f>
        <v>0.67249999999999999</v>
      </c>
      <c r="I6" s="318">
        <f t="shared" si="0"/>
        <v>3.4544999999999995</v>
      </c>
      <c r="J6" s="318">
        <f>I6*1.2</f>
        <v>4.1453999999999995</v>
      </c>
      <c r="K6" s="250" t="s">
        <v>103</v>
      </c>
    </row>
    <row r="7" spans="1:11" x14ac:dyDescent="0.25">
      <c r="A7" s="286" t="s">
        <v>515</v>
      </c>
      <c r="B7" s="318">
        <v>9</v>
      </c>
      <c r="C7" s="318">
        <v>0.72</v>
      </c>
      <c r="D7" s="318">
        <v>0.86</v>
      </c>
      <c r="E7" s="318">
        <f>107/400</f>
        <v>0.26750000000000002</v>
      </c>
      <c r="F7" s="318">
        <f>215/400</f>
        <v>0.53749999999999998</v>
      </c>
      <c r="G7" s="318">
        <f>265/400</f>
        <v>0.66249999999999998</v>
      </c>
      <c r="H7" s="318">
        <f>241/400</f>
        <v>0.60250000000000004</v>
      </c>
      <c r="I7" s="318">
        <f t="shared" si="0"/>
        <v>3.3825000000000003</v>
      </c>
      <c r="J7" s="318">
        <f>I7*1.2</f>
        <v>4.0590000000000002</v>
      </c>
      <c r="K7" s="250"/>
    </row>
    <row r="8" spans="1:11" x14ac:dyDescent="0.25">
      <c r="A8" s="286" t="s">
        <v>516</v>
      </c>
      <c r="B8" s="318">
        <v>11</v>
      </c>
      <c r="C8" s="318">
        <v>0.8</v>
      </c>
      <c r="D8" s="318">
        <v>0.88</v>
      </c>
      <c r="E8" s="318">
        <f>280/400</f>
        <v>0.7</v>
      </c>
      <c r="F8" s="318">
        <f>288/400</f>
        <v>0.72</v>
      </c>
      <c r="G8" s="318">
        <f>331/400</f>
        <v>0.82750000000000001</v>
      </c>
      <c r="H8" s="318">
        <f>305/400</f>
        <v>0.76249999999999996</v>
      </c>
      <c r="I8" s="318">
        <f t="shared" si="0"/>
        <v>3.9899999999999993</v>
      </c>
      <c r="J8" s="318">
        <f>I8</f>
        <v>3.9899999999999993</v>
      </c>
      <c r="K8" s="250" t="s">
        <v>103</v>
      </c>
    </row>
    <row r="9" spans="1:11" x14ac:dyDescent="0.25">
      <c r="A9" s="286" t="s">
        <v>517</v>
      </c>
      <c r="B9" s="318">
        <v>11</v>
      </c>
      <c r="C9" s="318">
        <v>0.754</v>
      </c>
      <c r="D9" s="318">
        <v>0.92</v>
      </c>
      <c r="E9" s="318">
        <f>147/400</f>
        <v>0.36749999999999999</v>
      </c>
      <c r="F9" s="318">
        <f>229/400</f>
        <v>0.57250000000000001</v>
      </c>
      <c r="G9" s="318">
        <f>331/400</f>
        <v>0.82750000000000001</v>
      </c>
      <c r="H9" s="318">
        <f>353/400</f>
        <v>0.88249999999999995</v>
      </c>
      <c r="I9" s="318">
        <f t="shared" si="0"/>
        <v>3.9564999999999997</v>
      </c>
      <c r="J9" s="318">
        <f>I9</f>
        <v>3.9564999999999997</v>
      </c>
      <c r="K9" s="250" t="s">
        <v>103</v>
      </c>
    </row>
    <row r="10" spans="1:11" x14ac:dyDescent="0.25">
      <c r="A10" s="286" t="s">
        <v>518</v>
      </c>
      <c r="B10" s="318">
        <v>11</v>
      </c>
      <c r="C10" s="318">
        <v>0.75600000000000001</v>
      </c>
      <c r="D10" s="318">
        <v>0.86</v>
      </c>
      <c r="E10" s="318">
        <f>280/400</f>
        <v>0.7</v>
      </c>
      <c r="F10" s="318">
        <f>221/400</f>
        <v>0.55249999999999999</v>
      </c>
      <c r="G10" s="318">
        <f>331/400</f>
        <v>0.82750000000000001</v>
      </c>
      <c r="H10" s="318">
        <f>300/400</f>
        <v>0.75</v>
      </c>
      <c r="I10" s="318">
        <f t="shared" si="0"/>
        <v>3.8934999999999995</v>
      </c>
      <c r="J10" s="318">
        <f>I10</f>
        <v>3.8934999999999995</v>
      </c>
    </row>
    <row r="11" spans="1:11" x14ac:dyDescent="0.25">
      <c r="A11" s="286" t="s">
        <v>519</v>
      </c>
      <c r="B11" s="318">
        <v>11</v>
      </c>
      <c r="C11" s="318">
        <v>0.68600000000000005</v>
      </c>
      <c r="D11" s="318">
        <v>0.88</v>
      </c>
      <c r="E11" s="318">
        <f>320/400</f>
        <v>0.8</v>
      </c>
      <c r="F11" s="318">
        <f>288/400</f>
        <v>0.72</v>
      </c>
      <c r="G11" s="318">
        <f>265/400</f>
        <v>0.66249999999999998</v>
      </c>
      <c r="H11" s="318">
        <f>232/400</f>
        <v>0.57999999999999996</v>
      </c>
      <c r="I11" s="318">
        <f t="shared" si="0"/>
        <v>3.7484999999999999</v>
      </c>
      <c r="J11" s="318">
        <f>I11</f>
        <v>3.7484999999999999</v>
      </c>
    </row>
    <row r="12" spans="1:11" x14ac:dyDescent="0.25">
      <c r="A12" s="286" t="s">
        <v>520</v>
      </c>
      <c r="B12" s="318">
        <v>10</v>
      </c>
      <c r="C12" s="318">
        <v>0.60799999999999998</v>
      </c>
      <c r="D12" s="318">
        <v>0.86</v>
      </c>
      <c r="E12" s="318">
        <f>200/400</f>
        <v>0.5</v>
      </c>
      <c r="F12" s="318">
        <f>208/400</f>
        <v>0.52</v>
      </c>
      <c r="G12" s="318">
        <f>262/400</f>
        <v>0.65500000000000003</v>
      </c>
      <c r="H12" s="318">
        <f>281/400</f>
        <v>0.70250000000000001</v>
      </c>
      <c r="I12" s="318">
        <f t="shared" si="0"/>
        <v>3.3454999999999999</v>
      </c>
      <c r="J12" s="318">
        <f>I12*1.1</f>
        <v>3.68005</v>
      </c>
    </row>
    <row r="13" spans="1:11" x14ac:dyDescent="0.25">
      <c r="A13" s="286" t="s">
        <v>521</v>
      </c>
      <c r="B13" s="318">
        <v>11</v>
      </c>
      <c r="C13" s="318">
        <v>0.72</v>
      </c>
      <c r="D13" s="318">
        <v>0.82</v>
      </c>
      <c r="E13" s="318">
        <f>280/400</f>
        <v>0.7</v>
      </c>
      <c r="F13" s="318">
        <f>256/400</f>
        <v>0.64</v>
      </c>
      <c r="G13" s="318">
        <f>269/400</f>
        <v>0.67249999999999999</v>
      </c>
      <c r="H13" s="318">
        <f>288/400</f>
        <v>0.72</v>
      </c>
      <c r="I13" s="318">
        <f t="shared" si="0"/>
        <v>3.6324999999999998</v>
      </c>
      <c r="J13" s="318">
        <f>I13</f>
        <v>3.6324999999999998</v>
      </c>
    </row>
    <row r="14" spans="1:11" x14ac:dyDescent="0.25">
      <c r="A14" s="286" t="s">
        <v>522</v>
      </c>
      <c r="B14" s="318">
        <v>10</v>
      </c>
      <c r="C14" s="318">
        <v>0.624</v>
      </c>
      <c r="D14" s="318">
        <v>0.86</v>
      </c>
      <c r="E14" s="318">
        <f>149/400</f>
        <v>0.3725</v>
      </c>
      <c r="F14" s="318">
        <f>231/400</f>
        <v>0.57750000000000001</v>
      </c>
      <c r="G14" s="318">
        <f>221/400</f>
        <v>0.55249999999999999</v>
      </c>
      <c r="H14" s="318">
        <f>200/400</f>
        <v>0.5</v>
      </c>
      <c r="I14" s="318">
        <f t="shared" si="0"/>
        <v>3.1140000000000003</v>
      </c>
      <c r="J14" s="318">
        <f>I14*1.1</f>
        <v>3.4254000000000007</v>
      </c>
    </row>
    <row r="15" spans="1:11" x14ac:dyDescent="0.25">
      <c r="A15" s="286" t="s">
        <v>523</v>
      </c>
      <c r="B15" s="318">
        <v>10</v>
      </c>
      <c r="C15" s="318">
        <v>0.66400000000000003</v>
      </c>
      <c r="D15" s="318">
        <v>0.84</v>
      </c>
      <c r="E15" s="318">
        <f>66/400</f>
        <v>0.16500000000000001</v>
      </c>
      <c r="F15" s="318">
        <f>104/400</f>
        <v>0.26</v>
      </c>
      <c r="G15" s="318">
        <f>234/400</f>
        <v>0.58499999999999996</v>
      </c>
      <c r="H15" s="318">
        <f>250/400</f>
        <v>0.625</v>
      </c>
      <c r="I15" s="318">
        <f t="shared" si="0"/>
        <v>2.9740000000000002</v>
      </c>
      <c r="J15" s="318">
        <f>I15*1.1</f>
        <v>3.2714000000000003</v>
      </c>
    </row>
    <row r="16" spans="1:11" x14ac:dyDescent="0.25">
      <c r="A16" s="286" t="s">
        <v>524</v>
      </c>
      <c r="B16" s="318">
        <v>9</v>
      </c>
      <c r="C16" s="318">
        <v>0.64</v>
      </c>
      <c r="D16" s="318">
        <v>0.86</v>
      </c>
      <c r="E16" s="318">
        <f>0/400</f>
        <v>0</v>
      </c>
      <c r="F16" s="318">
        <f>86/400</f>
        <v>0.215</v>
      </c>
      <c r="G16" s="318">
        <f>228/400</f>
        <v>0.56999999999999995</v>
      </c>
      <c r="H16" s="318">
        <f>176/400</f>
        <v>0.44</v>
      </c>
      <c r="I16" s="318">
        <f t="shared" si="0"/>
        <v>2.7250000000000001</v>
      </c>
      <c r="J16" s="318">
        <f>I16*1.2</f>
        <v>3.27</v>
      </c>
    </row>
    <row r="17" spans="1:10" x14ac:dyDescent="0.25">
      <c r="A17" s="286" t="s">
        <v>525</v>
      </c>
      <c r="B17" s="318">
        <v>11</v>
      </c>
      <c r="C17" s="318">
        <v>0.8</v>
      </c>
      <c r="D17" s="318">
        <v>0.81599999999999995</v>
      </c>
      <c r="E17" s="318">
        <f>0/400</f>
        <v>0</v>
      </c>
      <c r="F17" s="318">
        <f>0/400</f>
        <v>0</v>
      </c>
      <c r="G17" s="318">
        <f>0/400</f>
        <v>0</v>
      </c>
      <c r="H17" s="318">
        <f>0/400</f>
        <v>0</v>
      </c>
      <c r="I17" s="318">
        <f t="shared" si="0"/>
        <v>1.6160000000000001</v>
      </c>
      <c r="J17" s="318">
        <f>I17</f>
        <v>1.6160000000000001</v>
      </c>
    </row>
  </sheetData>
  <autoFilter ref="A1:K17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32"/>
  <sheetViews>
    <sheetView zoomScaleNormal="100" workbookViewId="0">
      <selection activeCell="O26" sqref="O26"/>
    </sheetView>
  </sheetViews>
  <sheetFormatPr defaultColWidth="9.140625" defaultRowHeight="15.75" x14ac:dyDescent="0.25"/>
  <cols>
    <col min="1" max="1" width="13.85546875" style="318" customWidth="1"/>
    <col min="2" max="2" width="4.140625" style="318" customWidth="1"/>
    <col min="3" max="4" width="8.28515625" style="318" customWidth="1"/>
    <col min="5" max="7" width="6.5703125" style="250" customWidth="1"/>
    <col min="8" max="8" width="5.7109375" style="318" customWidth="1"/>
    <col min="9" max="9" width="5.85546875" style="318" customWidth="1"/>
    <col min="10" max="10" width="8.42578125" style="318" customWidth="1"/>
    <col min="11" max="11" width="6.85546875" style="318" customWidth="1"/>
    <col min="12" max="1024" width="9.140625" style="318"/>
  </cols>
  <sheetData>
    <row r="1" spans="1:11" s="206" customFormat="1" ht="36" customHeight="1" x14ac:dyDescent="0.2">
      <c r="A1" s="206" t="s">
        <v>0</v>
      </c>
      <c r="B1" s="337" t="s">
        <v>1</v>
      </c>
      <c r="C1" s="339" t="s">
        <v>508</v>
      </c>
      <c r="D1" s="339" t="s">
        <v>509</v>
      </c>
      <c r="E1" s="206">
        <v>1</v>
      </c>
      <c r="F1" s="206">
        <v>2</v>
      </c>
      <c r="G1" s="206">
        <v>3</v>
      </c>
      <c r="H1" s="206" t="s">
        <v>397</v>
      </c>
      <c r="I1" s="206" t="s">
        <v>3</v>
      </c>
      <c r="J1" s="206" t="s">
        <v>4</v>
      </c>
      <c r="K1" s="206" t="s">
        <v>1</v>
      </c>
    </row>
    <row r="2" spans="1:11" x14ac:dyDescent="0.25">
      <c r="A2" s="286" t="s">
        <v>526</v>
      </c>
      <c r="B2" s="340">
        <v>9</v>
      </c>
      <c r="C2" s="341">
        <f>500/500</f>
        <v>1</v>
      </c>
      <c r="D2" s="249">
        <f>413/500</f>
        <v>0.82599999999999996</v>
      </c>
      <c r="E2" s="249">
        <f>192/400</f>
        <v>0.48</v>
      </c>
      <c r="F2" s="249">
        <f>359/400</f>
        <v>0.89749999999999996</v>
      </c>
      <c r="G2" s="249">
        <f>300/400</f>
        <v>0.75</v>
      </c>
      <c r="H2" s="317">
        <f t="shared" ref="H2:H20" si="0">SUM(C2:G2)-MIN(C2:G2)</f>
        <v>3.4735</v>
      </c>
      <c r="I2" s="317">
        <f>H2*1.2</f>
        <v>4.1681999999999997</v>
      </c>
      <c r="J2" s="250" t="s">
        <v>103</v>
      </c>
      <c r="K2" s="286">
        <v>9</v>
      </c>
    </row>
    <row r="3" spans="1:11" x14ac:dyDescent="0.25">
      <c r="A3" s="286" t="s">
        <v>527</v>
      </c>
      <c r="B3" s="340">
        <v>11</v>
      </c>
      <c r="C3" s="341">
        <f>500/500</f>
        <v>1</v>
      </c>
      <c r="D3" s="249">
        <f>480/500</f>
        <v>0.96</v>
      </c>
      <c r="E3" s="249">
        <f>319/400</f>
        <v>0.79749999999999999</v>
      </c>
      <c r="F3" s="342">
        <f>400/400</f>
        <v>1</v>
      </c>
      <c r="G3" s="342">
        <f>400/400</f>
        <v>1</v>
      </c>
      <c r="H3" s="317">
        <f t="shared" si="0"/>
        <v>3.9600000000000004</v>
      </c>
      <c r="I3" s="317">
        <f>H3</f>
        <v>3.9600000000000004</v>
      </c>
      <c r="J3" s="343" t="s">
        <v>103</v>
      </c>
      <c r="K3" s="286">
        <v>11</v>
      </c>
    </row>
    <row r="4" spans="1:11" x14ac:dyDescent="0.25">
      <c r="A4" s="286" t="s">
        <v>528</v>
      </c>
      <c r="B4" s="340">
        <v>9</v>
      </c>
      <c r="C4" s="344">
        <f>406/500</f>
        <v>0.81200000000000006</v>
      </c>
      <c r="D4" s="249">
        <f>411/500</f>
        <v>0.82199999999999995</v>
      </c>
      <c r="E4" s="249">
        <f>126/400</f>
        <v>0.315</v>
      </c>
      <c r="F4" s="249">
        <f>359/400</f>
        <v>0.89749999999999996</v>
      </c>
      <c r="G4" s="249">
        <f>212/400</f>
        <v>0.53</v>
      </c>
      <c r="H4" s="317">
        <f t="shared" si="0"/>
        <v>3.0615000000000001</v>
      </c>
      <c r="I4" s="317">
        <f>H4*1.2</f>
        <v>3.6738</v>
      </c>
      <c r="J4" s="343" t="s">
        <v>103</v>
      </c>
      <c r="K4" s="286">
        <v>9</v>
      </c>
    </row>
    <row r="5" spans="1:11" x14ac:dyDescent="0.25">
      <c r="A5" s="286" t="s">
        <v>529</v>
      </c>
      <c r="B5" s="340">
        <v>11</v>
      </c>
      <c r="C5" s="344">
        <f>460/500</f>
        <v>0.92</v>
      </c>
      <c r="D5" s="249">
        <f>426/500</f>
        <v>0.85199999999999998</v>
      </c>
      <c r="E5" s="249">
        <f>171/400</f>
        <v>0.42749999999999999</v>
      </c>
      <c r="F5" s="249">
        <f>324/400</f>
        <v>0.81</v>
      </c>
      <c r="G5" s="249">
        <f>300/400</f>
        <v>0.75</v>
      </c>
      <c r="H5" s="317">
        <f t="shared" si="0"/>
        <v>3.3319999999999999</v>
      </c>
      <c r="I5" s="317">
        <f>H5</f>
        <v>3.3319999999999999</v>
      </c>
      <c r="J5" s="250" t="s">
        <v>103</v>
      </c>
      <c r="K5" s="286">
        <v>11</v>
      </c>
    </row>
    <row r="6" spans="1:11" x14ac:dyDescent="0.25">
      <c r="A6" s="286" t="s">
        <v>530</v>
      </c>
      <c r="B6" s="340">
        <v>9</v>
      </c>
      <c r="C6" s="344">
        <f>372/500</f>
        <v>0.74399999999999999</v>
      </c>
      <c r="D6" s="249">
        <f>330/500</f>
        <v>0.66</v>
      </c>
      <c r="E6" s="249">
        <f>49/400</f>
        <v>0.1225</v>
      </c>
      <c r="F6" s="249">
        <f>334/400</f>
        <v>0.83499999999999996</v>
      </c>
      <c r="G6" s="249">
        <f>200/400</f>
        <v>0.5</v>
      </c>
      <c r="H6" s="317">
        <f t="shared" si="0"/>
        <v>2.7389999999999999</v>
      </c>
      <c r="I6" s="317">
        <f>H6*1.2</f>
        <v>3.2867999999999999</v>
      </c>
      <c r="J6" s="343" t="s">
        <v>103</v>
      </c>
      <c r="K6" s="286">
        <v>9</v>
      </c>
    </row>
    <row r="7" spans="1:11" x14ac:dyDescent="0.25">
      <c r="A7" s="286" t="s">
        <v>531</v>
      </c>
      <c r="B7" s="340">
        <v>11</v>
      </c>
      <c r="C7" s="341">
        <f>500/500</f>
        <v>1</v>
      </c>
      <c r="D7" s="249">
        <f>323/500</f>
        <v>0.64600000000000002</v>
      </c>
      <c r="E7" s="249">
        <f>41/400</f>
        <v>0.10249999999999999</v>
      </c>
      <c r="F7" s="249">
        <f>334/400</f>
        <v>0.83499999999999996</v>
      </c>
      <c r="G7" s="249">
        <f>300/400</f>
        <v>0.75</v>
      </c>
      <c r="H7" s="317">
        <f t="shared" si="0"/>
        <v>3.2309999999999999</v>
      </c>
      <c r="I7" s="317">
        <f>H7</f>
        <v>3.2309999999999999</v>
      </c>
      <c r="J7" s="250" t="s">
        <v>103</v>
      </c>
      <c r="K7" s="286">
        <v>11</v>
      </c>
    </row>
    <row r="8" spans="1:11" x14ac:dyDescent="0.25">
      <c r="A8" s="286" t="s">
        <v>532</v>
      </c>
      <c r="B8" s="340">
        <v>10</v>
      </c>
      <c r="C8" s="344">
        <f>388/500</f>
        <v>0.77600000000000002</v>
      </c>
      <c r="D8" s="249">
        <f>375/500</f>
        <v>0.75</v>
      </c>
      <c r="E8" s="249">
        <f>111/400</f>
        <v>0.27750000000000002</v>
      </c>
      <c r="F8" s="249">
        <f>334/400</f>
        <v>0.83499999999999996</v>
      </c>
      <c r="G8" s="249">
        <f>149/400</f>
        <v>0.3725</v>
      </c>
      <c r="H8" s="317">
        <f t="shared" si="0"/>
        <v>2.7335000000000003</v>
      </c>
      <c r="I8" s="317">
        <f>H8*1.1</f>
        <v>3.0068500000000005</v>
      </c>
      <c r="J8" s="343" t="s">
        <v>103</v>
      </c>
      <c r="K8" s="286">
        <v>10</v>
      </c>
    </row>
    <row r="9" spans="1:11" x14ac:dyDescent="0.25">
      <c r="A9" s="286" t="s">
        <v>533</v>
      </c>
      <c r="B9" s="340">
        <v>9</v>
      </c>
      <c r="C9" s="344">
        <f>345/500</f>
        <v>0.69</v>
      </c>
      <c r="D9" s="249">
        <f>326/500</f>
        <v>0.65200000000000002</v>
      </c>
      <c r="E9" s="249">
        <f>120/400</f>
        <v>0.3</v>
      </c>
      <c r="F9" s="249">
        <f>294/400</f>
        <v>0.73499999999999999</v>
      </c>
      <c r="G9" s="249">
        <f>112/400</f>
        <v>0.28000000000000003</v>
      </c>
      <c r="H9" s="317">
        <f t="shared" si="0"/>
        <v>2.3769999999999998</v>
      </c>
      <c r="I9" s="317">
        <f>H9*1.2</f>
        <v>2.8523999999999998</v>
      </c>
      <c r="J9" s="250" t="s">
        <v>103</v>
      </c>
      <c r="K9" s="286">
        <v>9</v>
      </c>
    </row>
    <row r="10" spans="1:11" x14ac:dyDescent="0.25">
      <c r="A10" s="286" t="s">
        <v>515</v>
      </c>
      <c r="B10" s="340">
        <v>11</v>
      </c>
      <c r="C10" s="344">
        <f>372/500</f>
        <v>0.74399999999999999</v>
      </c>
      <c r="D10" s="249">
        <f>358/500</f>
        <v>0.71599999999999997</v>
      </c>
      <c r="E10" s="249">
        <f>119/400</f>
        <v>0.29749999999999999</v>
      </c>
      <c r="F10" s="249">
        <f>311/400</f>
        <v>0.77749999999999997</v>
      </c>
      <c r="G10" s="249">
        <f>244/400</f>
        <v>0.61</v>
      </c>
      <c r="H10" s="317">
        <f t="shared" si="0"/>
        <v>2.8474999999999997</v>
      </c>
      <c r="I10" s="317">
        <f>H10</f>
        <v>2.8474999999999997</v>
      </c>
      <c r="J10" s="250" t="s">
        <v>103</v>
      </c>
      <c r="K10" s="286">
        <v>11</v>
      </c>
    </row>
    <row r="11" spans="1:11" x14ac:dyDescent="0.25">
      <c r="A11" s="286" t="s">
        <v>534</v>
      </c>
      <c r="B11" s="340">
        <v>11</v>
      </c>
      <c r="C11" s="344">
        <f>423/500</f>
        <v>0.84599999999999997</v>
      </c>
      <c r="D11" s="249">
        <f>371/500</f>
        <v>0.74199999999999999</v>
      </c>
      <c r="E11" s="249">
        <f>151/400</f>
        <v>0.3775</v>
      </c>
      <c r="F11" s="249">
        <f>334/400</f>
        <v>0.83499999999999996</v>
      </c>
      <c r="G11" s="249">
        <f>142/400</f>
        <v>0.35499999999999998</v>
      </c>
      <c r="H11" s="317">
        <f t="shared" si="0"/>
        <v>2.8005</v>
      </c>
      <c r="I11" s="317">
        <f>H11</f>
        <v>2.8005</v>
      </c>
      <c r="J11" s="250" t="s">
        <v>103</v>
      </c>
      <c r="K11" s="286">
        <v>11</v>
      </c>
    </row>
    <row r="12" spans="1:11" x14ac:dyDescent="0.25">
      <c r="A12" s="286" t="s">
        <v>535</v>
      </c>
      <c r="B12" s="340">
        <v>11</v>
      </c>
      <c r="C12" s="344">
        <f>372/500</f>
        <v>0.74399999999999999</v>
      </c>
      <c r="D12" s="249">
        <f>362/500</f>
        <v>0.72399999999999998</v>
      </c>
      <c r="E12" s="249">
        <f>120/400</f>
        <v>0.3</v>
      </c>
      <c r="F12" s="249">
        <f>324/400</f>
        <v>0.81</v>
      </c>
      <c r="G12" s="249">
        <f>205/400</f>
        <v>0.51249999999999996</v>
      </c>
      <c r="H12" s="317">
        <f t="shared" si="0"/>
        <v>2.7905000000000006</v>
      </c>
      <c r="I12" s="317">
        <f>H12</f>
        <v>2.7905000000000006</v>
      </c>
      <c r="J12" s="249"/>
      <c r="K12" s="286"/>
    </row>
    <row r="13" spans="1:11" x14ac:dyDescent="0.25">
      <c r="A13" s="286" t="s">
        <v>536</v>
      </c>
      <c r="B13" s="340">
        <v>11</v>
      </c>
      <c r="C13" s="344">
        <f>354/500</f>
        <v>0.70799999999999996</v>
      </c>
      <c r="D13" s="249">
        <f>350/500</f>
        <v>0.7</v>
      </c>
      <c r="E13" s="249">
        <f>172/400</f>
        <v>0.43</v>
      </c>
      <c r="F13" s="249">
        <f>334/400</f>
        <v>0.83499999999999996</v>
      </c>
      <c r="G13" s="249">
        <f>205/400</f>
        <v>0.51249999999999996</v>
      </c>
      <c r="H13" s="317">
        <f t="shared" si="0"/>
        <v>2.7555000000000001</v>
      </c>
      <c r="I13" s="317">
        <f>H13</f>
        <v>2.7555000000000001</v>
      </c>
      <c r="J13" s="250"/>
      <c r="K13" s="286"/>
    </row>
    <row r="14" spans="1:11" x14ac:dyDescent="0.25">
      <c r="A14" s="286" t="s">
        <v>537</v>
      </c>
      <c r="B14" s="340">
        <v>8</v>
      </c>
      <c r="C14" s="344">
        <f>339/500</f>
        <v>0.67800000000000005</v>
      </c>
      <c r="D14" s="249">
        <f>278/500</f>
        <v>0.55600000000000005</v>
      </c>
      <c r="E14" s="249">
        <f>55/400</f>
        <v>0.13750000000000001</v>
      </c>
      <c r="F14" s="249">
        <f>234/400</f>
        <v>0.58499999999999996</v>
      </c>
      <c r="G14" s="249">
        <f>200/400</f>
        <v>0.5</v>
      </c>
      <c r="H14" s="317">
        <f t="shared" si="0"/>
        <v>2.319</v>
      </c>
      <c r="I14" s="317">
        <f>H14*1.1</f>
        <v>2.5508999999999999</v>
      </c>
      <c r="J14" s="250" t="s">
        <v>103</v>
      </c>
      <c r="K14" s="286">
        <v>10</v>
      </c>
    </row>
    <row r="15" spans="1:11" x14ac:dyDescent="0.25">
      <c r="A15" s="286" t="s">
        <v>512</v>
      </c>
      <c r="B15" s="340">
        <v>11</v>
      </c>
      <c r="C15" s="344">
        <f>339/500</f>
        <v>0.67800000000000005</v>
      </c>
      <c r="D15" s="249">
        <f>330/500</f>
        <v>0.66</v>
      </c>
      <c r="E15" s="249">
        <f>52/400</f>
        <v>0.13</v>
      </c>
      <c r="F15" s="249">
        <f>324/400</f>
        <v>0.81</v>
      </c>
      <c r="G15" s="249">
        <f>105/400</f>
        <v>0.26250000000000001</v>
      </c>
      <c r="H15" s="317">
        <f t="shared" si="0"/>
        <v>2.4105000000000003</v>
      </c>
      <c r="I15" s="317">
        <f>H15</f>
        <v>2.4105000000000003</v>
      </c>
      <c r="K15" s="286"/>
    </row>
    <row r="16" spans="1:11" x14ac:dyDescent="0.25">
      <c r="A16" s="286" t="s">
        <v>538</v>
      </c>
      <c r="B16" s="340">
        <v>8</v>
      </c>
      <c r="C16" s="344">
        <f>300/500</f>
        <v>0.6</v>
      </c>
      <c r="D16" s="249">
        <f>299/500</f>
        <v>0.59799999999999998</v>
      </c>
      <c r="E16" s="249">
        <f>120/400</f>
        <v>0.3</v>
      </c>
      <c r="F16" s="249">
        <f>150/400</f>
        <v>0.375</v>
      </c>
      <c r="G16" s="249">
        <f>100/400</f>
        <v>0.25</v>
      </c>
      <c r="H16" s="317">
        <f t="shared" si="0"/>
        <v>1.8730000000000002</v>
      </c>
      <c r="I16" s="317">
        <f>H16*1.2</f>
        <v>2.2476000000000003</v>
      </c>
      <c r="K16" s="286"/>
    </row>
    <row r="17" spans="1:12" x14ac:dyDescent="0.25">
      <c r="A17" s="286" t="s">
        <v>539</v>
      </c>
      <c r="B17" s="340">
        <v>10</v>
      </c>
      <c r="C17" s="344">
        <f>348/500</f>
        <v>0.69599999999999995</v>
      </c>
      <c r="D17" s="249">
        <f>330/500</f>
        <v>0.66</v>
      </c>
      <c r="E17" s="249">
        <f>49/400</f>
        <v>0.1225</v>
      </c>
      <c r="F17" s="249">
        <f>211/400</f>
        <v>0.52749999999999997</v>
      </c>
      <c r="G17" s="249">
        <f>5/400</f>
        <v>1.2500000000000001E-2</v>
      </c>
      <c r="H17" s="317">
        <f t="shared" si="0"/>
        <v>2.0059999999999998</v>
      </c>
      <c r="I17" s="317">
        <f>H17*1.1</f>
        <v>2.2065999999999999</v>
      </c>
      <c r="J17" s="250"/>
      <c r="K17" s="286"/>
    </row>
    <row r="18" spans="1:12" x14ac:dyDescent="0.25">
      <c r="A18" s="286" t="s">
        <v>540</v>
      </c>
      <c r="B18" s="340">
        <v>8</v>
      </c>
      <c r="C18" s="344">
        <f>317/500</f>
        <v>0.63400000000000001</v>
      </c>
      <c r="D18" s="249">
        <f>271/500</f>
        <v>0.54200000000000004</v>
      </c>
      <c r="E18" s="249">
        <f>50/400</f>
        <v>0.125</v>
      </c>
      <c r="F18" s="249">
        <f>150/400</f>
        <v>0.375</v>
      </c>
      <c r="G18" s="249">
        <f>0/400</f>
        <v>0</v>
      </c>
      <c r="H18" s="317">
        <f t="shared" si="0"/>
        <v>1.6760000000000002</v>
      </c>
      <c r="I18" s="317">
        <f>H18*1.2</f>
        <v>2.0112000000000001</v>
      </c>
      <c r="K18" s="286"/>
    </row>
    <row r="19" spans="1:12" x14ac:dyDescent="0.25">
      <c r="A19" s="286" t="s">
        <v>541</v>
      </c>
      <c r="B19" s="340">
        <v>9</v>
      </c>
      <c r="C19" s="344">
        <f>348/500</f>
        <v>0.69599999999999995</v>
      </c>
      <c r="D19" s="249">
        <f>233/500</f>
        <v>0.46600000000000003</v>
      </c>
      <c r="E19" s="249">
        <f>41/400</f>
        <v>0.10249999999999999</v>
      </c>
      <c r="F19" s="249">
        <f>100/400</f>
        <v>0.25</v>
      </c>
      <c r="G19" s="249">
        <f>100/400</f>
        <v>0.25</v>
      </c>
      <c r="H19" s="317">
        <f t="shared" si="0"/>
        <v>1.6619999999999999</v>
      </c>
      <c r="I19" s="317">
        <f>H19*1.2</f>
        <v>1.9943999999999997</v>
      </c>
      <c r="K19" s="286"/>
    </row>
    <row r="20" spans="1:12" x14ac:dyDescent="0.25">
      <c r="A20" s="286" t="s">
        <v>542</v>
      </c>
      <c r="B20" s="340">
        <v>9</v>
      </c>
      <c r="C20" s="344">
        <f>306/500</f>
        <v>0.61199999999999999</v>
      </c>
      <c r="D20" s="249">
        <f>274/500</f>
        <v>0.54800000000000004</v>
      </c>
      <c r="E20" s="249">
        <v>0</v>
      </c>
      <c r="F20" s="249">
        <v>0</v>
      </c>
      <c r="G20" s="249">
        <v>0</v>
      </c>
      <c r="H20" s="317">
        <f t="shared" si="0"/>
        <v>1.1600000000000001</v>
      </c>
      <c r="I20" s="317">
        <f>H20*1.2</f>
        <v>1.3920000000000001</v>
      </c>
      <c r="K20" s="286"/>
    </row>
    <row r="21" spans="1:12" x14ac:dyDescent="0.25">
      <c r="A21" s="286" t="s">
        <v>514</v>
      </c>
      <c r="B21" s="340">
        <v>11</v>
      </c>
      <c r="C21" s="344">
        <f>354/500</f>
        <v>0.70799999999999996</v>
      </c>
      <c r="D21" s="249">
        <f>339/500</f>
        <v>0.67800000000000005</v>
      </c>
      <c r="E21" s="249">
        <f>61/400</f>
        <v>0.1525</v>
      </c>
      <c r="F21" s="345"/>
      <c r="G21" s="249"/>
      <c r="H21" s="317"/>
      <c r="I21" s="317"/>
      <c r="J21" s="250"/>
      <c r="K21" s="286"/>
    </row>
    <row r="22" spans="1:12" x14ac:dyDescent="0.25">
      <c r="C22" s="346"/>
      <c r="D22" s="346"/>
    </row>
    <row r="23" spans="1:12" x14ac:dyDescent="0.25">
      <c r="J23" s="250"/>
    </row>
    <row r="32" spans="1:12" x14ac:dyDescent="0.25">
      <c r="L32" s="250"/>
    </row>
  </sheetData>
  <autoFilter ref="A1:K21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F22"/>
  <sheetViews>
    <sheetView zoomScaleNormal="100" workbookViewId="0">
      <selection activeCell="J23" sqref="J23"/>
    </sheetView>
  </sheetViews>
  <sheetFormatPr defaultColWidth="9.140625" defaultRowHeight="15.75" x14ac:dyDescent="0.25"/>
  <cols>
    <col min="1" max="1" width="13.85546875" style="358" customWidth="1"/>
    <col min="2" max="2" width="4.140625" style="358" customWidth="1"/>
    <col min="3" max="4" width="8.28515625" style="358" customWidth="1"/>
    <col min="5" max="5" width="8.140625" style="354" customWidth="1"/>
    <col min="6" max="6" width="5.140625" style="354" customWidth="1"/>
    <col min="7" max="7" width="5.28515625" style="354" customWidth="1"/>
    <col min="8" max="8" width="5.42578125" style="354" customWidth="1"/>
    <col min="9" max="9" width="4.85546875" style="354" customWidth="1"/>
    <col min="10" max="10" width="7.85546875" style="358" customWidth="1"/>
    <col min="11" max="11" width="7.42578125" style="358" customWidth="1"/>
    <col min="12" max="12" width="8.42578125" style="358" customWidth="1"/>
    <col min="13" max="13" width="25.140625" style="357" customWidth="1"/>
    <col min="14" max="1018" width="9.140625" style="358"/>
    <col min="1019" max="16384" width="9.140625" style="352"/>
  </cols>
  <sheetData>
    <row r="1" spans="1:1020" s="347" customFormat="1" ht="61.9" customHeight="1" x14ac:dyDescent="0.2">
      <c r="A1" s="347" t="s">
        <v>0</v>
      </c>
      <c r="B1" s="348" t="s">
        <v>1</v>
      </c>
      <c r="C1" s="349" t="s">
        <v>508</v>
      </c>
      <c r="D1" s="349" t="s">
        <v>509</v>
      </c>
      <c r="E1" s="350" t="s">
        <v>543</v>
      </c>
      <c r="F1" s="347">
        <v>1</v>
      </c>
      <c r="G1" s="347">
        <v>2</v>
      </c>
      <c r="H1" s="347">
        <v>3</v>
      </c>
      <c r="I1" s="347">
        <v>4</v>
      </c>
      <c r="J1" s="347" t="s">
        <v>397</v>
      </c>
      <c r="K1" s="347" t="s">
        <v>3</v>
      </c>
      <c r="L1" s="347" t="s">
        <v>4</v>
      </c>
      <c r="M1" s="351"/>
      <c r="AME1" s="352"/>
      <c r="AMF1" s="352"/>
    </row>
    <row r="2" spans="1:1020" x14ac:dyDescent="0.25">
      <c r="A2" s="353" t="s">
        <v>544</v>
      </c>
      <c r="B2" s="353">
        <v>9</v>
      </c>
      <c r="C2" s="354">
        <f>412/500</f>
        <v>0.82399999999999995</v>
      </c>
      <c r="D2" s="354">
        <f>500/500</f>
        <v>1</v>
      </c>
      <c r="E2" s="354" t="s">
        <v>545</v>
      </c>
      <c r="F2" s="355">
        <f>269/400</f>
        <v>0.67249999999999999</v>
      </c>
      <c r="G2" s="355">
        <f>400/400</f>
        <v>1</v>
      </c>
      <c r="H2" s="355">
        <f>236/400</f>
        <v>0.59</v>
      </c>
      <c r="I2" s="355">
        <f t="shared" ref="I2:I8" si="0">400/400</f>
        <v>1</v>
      </c>
      <c r="J2" s="356">
        <f t="shared" ref="J2:J20" si="1">SUM(C2:I2)-MIN(C2:I2)</f>
        <v>4.4965000000000002</v>
      </c>
      <c r="K2" s="356">
        <f>J2*1.2</f>
        <v>5.3958000000000004</v>
      </c>
      <c r="L2" s="354" t="s">
        <v>103</v>
      </c>
      <c r="M2" s="357" t="s">
        <v>546</v>
      </c>
    </row>
    <row r="3" spans="1:1020" x14ac:dyDescent="0.25">
      <c r="A3" s="353" t="s">
        <v>547</v>
      </c>
      <c r="B3" s="353">
        <v>10</v>
      </c>
      <c r="C3" s="354">
        <f>500/500</f>
        <v>1</v>
      </c>
      <c r="D3" s="354">
        <f>500/500</f>
        <v>1</v>
      </c>
      <c r="E3" s="354" t="s">
        <v>548</v>
      </c>
      <c r="F3" s="355">
        <f>314/400</f>
        <v>0.78500000000000003</v>
      </c>
      <c r="G3" s="355">
        <f>400/400</f>
        <v>1</v>
      </c>
      <c r="H3" s="355">
        <f>292/400</f>
        <v>0.73</v>
      </c>
      <c r="I3" s="355">
        <f t="shared" si="0"/>
        <v>1</v>
      </c>
      <c r="J3" s="356">
        <f t="shared" si="1"/>
        <v>4.7850000000000001</v>
      </c>
      <c r="K3" s="356">
        <f>J3*1.1</f>
        <v>5.2635000000000005</v>
      </c>
      <c r="L3" s="354" t="s">
        <v>103</v>
      </c>
      <c r="M3" s="357" t="s">
        <v>549</v>
      </c>
    </row>
    <row r="4" spans="1:1020" x14ac:dyDescent="0.25">
      <c r="A4" s="353" t="s">
        <v>537</v>
      </c>
      <c r="B4" s="353">
        <v>10</v>
      </c>
      <c r="C4" s="354">
        <f>500/500</f>
        <v>1</v>
      </c>
      <c r="D4" s="354">
        <f>494/500</f>
        <v>0.98799999999999999</v>
      </c>
      <c r="E4" s="354" t="s">
        <v>550</v>
      </c>
      <c r="F4" s="355">
        <f>269/400</f>
        <v>0.67249999999999999</v>
      </c>
      <c r="G4" s="355">
        <f>400/400</f>
        <v>1</v>
      </c>
      <c r="H4" s="355">
        <f>150/400</f>
        <v>0.375</v>
      </c>
      <c r="I4" s="355">
        <f t="shared" si="0"/>
        <v>1</v>
      </c>
      <c r="J4" s="356">
        <f t="shared" si="1"/>
        <v>4.6604999999999999</v>
      </c>
      <c r="K4" s="356">
        <f>J4*1.1</f>
        <v>5.1265499999999999</v>
      </c>
      <c r="L4" s="358" t="s">
        <v>103</v>
      </c>
      <c r="M4" s="357" t="s">
        <v>551</v>
      </c>
    </row>
    <row r="5" spans="1:1020" x14ac:dyDescent="0.25">
      <c r="A5" s="353" t="s">
        <v>552</v>
      </c>
      <c r="B5" s="353">
        <v>11</v>
      </c>
      <c r="C5" s="354">
        <f>500/500</f>
        <v>1</v>
      </c>
      <c r="D5" s="354">
        <f>480/500</f>
        <v>0.96</v>
      </c>
      <c r="E5" s="354" t="s">
        <v>553</v>
      </c>
      <c r="F5" s="355">
        <f>330/400</f>
        <v>0.82499999999999996</v>
      </c>
      <c r="G5" s="355">
        <f>400/400</f>
        <v>1</v>
      </c>
      <c r="H5" s="355">
        <f>361/400</f>
        <v>0.90249999999999997</v>
      </c>
      <c r="I5" s="355">
        <f t="shared" si="0"/>
        <v>1</v>
      </c>
      <c r="J5" s="356">
        <f t="shared" si="1"/>
        <v>4.8624999999999998</v>
      </c>
      <c r="K5" s="356">
        <f>J5</f>
        <v>4.8624999999999998</v>
      </c>
      <c r="L5" s="354" t="s">
        <v>103</v>
      </c>
      <c r="M5" s="357" t="s">
        <v>554</v>
      </c>
    </row>
    <row r="6" spans="1:1020" x14ac:dyDescent="0.25">
      <c r="A6" s="353" t="s">
        <v>530</v>
      </c>
      <c r="B6" s="353">
        <v>11</v>
      </c>
      <c r="C6" s="354">
        <f>445/500</f>
        <v>0.89</v>
      </c>
      <c r="D6" s="354">
        <f>484/500</f>
        <v>0.96799999999999997</v>
      </c>
      <c r="E6" s="354" t="s">
        <v>555</v>
      </c>
      <c r="F6" s="355">
        <f>314/400</f>
        <v>0.78500000000000003</v>
      </c>
      <c r="G6" s="355">
        <f>400/400</f>
        <v>1</v>
      </c>
      <c r="H6" s="355">
        <f>255/400</f>
        <v>0.63749999999999996</v>
      </c>
      <c r="I6" s="355">
        <f t="shared" si="0"/>
        <v>1</v>
      </c>
      <c r="J6" s="356">
        <f t="shared" si="1"/>
        <v>4.6429999999999998</v>
      </c>
      <c r="K6" s="356">
        <f>J6</f>
        <v>4.6429999999999998</v>
      </c>
      <c r="L6" s="358" t="s">
        <v>103</v>
      </c>
      <c r="M6" s="357" t="s">
        <v>556</v>
      </c>
    </row>
    <row r="7" spans="1:1020" x14ac:dyDescent="0.25">
      <c r="A7" s="353" t="s">
        <v>540</v>
      </c>
      <c r="B7" s="353">
        <v>10</v>
      </c>
      <c r="C7" s="354">
        <f>433/500</f>
        <v>0.86599999999999999</v>
      </c>
      <c r="D7" s="354">
        <f>404/500</f>
        <v>0.80800000000000005</v>
      </c>
      <c r="E7" s="354" t="s">
        <v>557</v>
      </c>
      <c r="F7" s="355">
        <f>282/400</f>
        <v>0.70499999999999996</v>
      </c>
      <c r="G7" s="355">
        <f>335/400</f>
        <v>0.83750000000000002</v>
      </c>
      <c r="H7" s="355">
        <f>198/400</f>
        <v>0.495</v>
      </c>
      <c r="I7" s="355">
        <f t="shared" si="0"/>
        <v>1</v>
      </c>
      <c r="J7" s="356">
        <f t="shared" si="1"/>
        <v>4.2164999999999999</v>
      </c>
      <c r="K7" s="356">
        <f>J7*1.1</f>
        <v>4.6381500000000004</v>
      </c>
      <c r="L7" s="354" t="s">
        <v>103</v>
      </c>
      <c r="M7" s="357" t="s">
        <v>558</v>
      </c>
    </row>
    <row r="8" spans="1:1020" x14ac:dyDescent="0.25">
      <c r="A8" s="353" t="s">
        <v>559</v>
      </c>
      <c r="B8" s="353">
        <v>10</v>
      </c>
      <c r="C8" s="354">
        <f>388/500</f>
        <v>0.77600000000000002</v>
      </c>
      <c r="D8" s="354">
        <f>486/500</f>
        <v>0.97199999999999998</v>
      </c>
      <c r="E8" s="354" t="s">
        <v>560</v>
      </c>
      <c r="F8" s="355">
        <f>247/400</f>
        <v>0.61750000000000005</v>
      </c>
      <c r="G8" s="355">
        <f>335/400</f>
        <v>0.83750000000000002</v>
      </c>
      <c r="H8" s="355">
        <f>176/400</f>
        <v>0.44</v>
      </c>
      <c r="I8" s="355">
        <f t="shared" si="0"/>
        <v>1</v>
      </c>
      <c r="J8" s="356">
        <f t="shared" si="1"/>
        <v>4.2029999999999994</v>
      </c>
      <c r="K8" s="356">
        <f>J8*1.1</f>
        <v>4.6232999999999995</v>
      </c>
      <c r="L8" s="354" t="s">
        <v>103</v>
      </c>
      <c r="M8" s="357" t="s">
        <v>561</v>
      </c>
    </row>
    <row r="9" spans="1:1020" x14ac:dyDescent="0.25">
      <c r="A9" s="353" t="s">
        <v>562</v>
      </c>
      <c r="B9" s="353">
        <v>9</v>
      </c>
      <c r="C9" s="354">
        <f>396/500</f>
        <v>0.79200000000000004</v>
      </c>
      <c r="D9" s="354">
        <f>410/500</f>
        <v>0.82</v>
      </c>
      <c r="E9" s="354" t="s">
        <v>563</v>
      </c>
      <c r="F9" s="355">
        <f>148/400</f>
        <v>0.37</v>
      </c>
      <c r="G9" s="355">
        <f>292/400</f>
        <v>0.73</v>
      </c>
      <c r="H9" s="355">
        <f>173/400</f>
        <v>0.4325</v>
      </c>
      <c r="I9" s="355">
        <f>353/400</f>
        <v>0.88249999999999995</v>
      </c>
      <c r="J9" s="356">
        <f t="shared" si="1"/>
        <v>3.657</v>
      </c>
      <c r="K9" s="356">
        <f>J9*1.2</f>
        <v>4.3883999999999999</v>
      </c>
      <c r="L9" s="358" t="s">
        <v>103</v>
      </c>
      <c r="M9" s="357" t="s">
        <v>564</v>
      </c>
    </row>
    <row r="10" spans="1:1020" x14ac:dyDescent="0.25">
      <c r="A10" s="353" t="s">
        <v>565</v>
      </c>
      <c r="B10" s="353">
        <v>9</v>
      </c>
      <c r="C10" s="354">
        <f>360/500</f>
        <v>0.72</v>
      </c>
      <c r="D10" s="354">
        <f>281/500</f>
        <v>0.56200000000000006</v>
      </c>
      <c r="E10" s="354" t="s">
        <v>566</v>
      </c>
      <c r="F10" s="355">
        <f>131/400</f>
        <v>0.32750000000000001</v>
      </c>
      <c r="G10" s="355">
        <f>400/400</f>
        <v>1</v>
      </c>
      <c r="H10" s="355">
        <f>164/400</f>
        <v>0.41</v>
      </c>
      <c r="I10" s="355">
        <f>300/400</f>
        <v>0.75</v>
      </c>
      <c r="J10" s="356">
        <f t="shared" si="1"/>
        <v>3.4420000000000002</v>
      </c>
      <c r="K10" s="356">
        <f>J10*1.2</f>
        <v>4.1303999999999998</v>
      </c>
      <c r="L10" s="354" t="s">
        <v>103</v>
      </c>
      <c r="M10" s="357" t="s">
        <v>567</v>
      </c>
    </row>
    <row r="11" spans="1:1020" x14ac:dyDescent="0.25">
      <c r="A11" s="353" t="s">
        <v>568</v>
      </c>
      <c r="B11" s="353">
        <v>10</v>
      </c>
      <c r="C11" s="354">
        <f>388/500</f>
        <v>0.77600000000000002</v>
      </c>
      <c r="D11" s="354">
        <f>232/500</f>
        <v>0.46400000000000002</v>
      </c>
      <c r="E11" s="354" t="s">
        <v>569</v>
      </c>
      <c r="F11" s="355">
        <f>185/400</f>
        <v>0.46250000000000002</v>
      </c>
      <c r="G11" s="355">
        <f>356/400</f>
        <v>0.89</v>
      </c>
      <c r="H11" s="355">
        <f>213/400</f>
        <v>0.53249999999999997</v>
      </c>
      <c r="I11" s="355">
        <f>353/400</f>
        <v>0.88249999999999995</v>
      </c>
      <c r="J11" s="356">
        <f t="shared" si="1"/>
        <v>3.5450000000000004</v>
      </c>
      <c r="K11" s="356">
        <f>J11*1.1</f>
        <v>3.8995000000000006</v>
      </c>
      <c r="L11" s="354" t="s">
        <v>103</v>
      </c>
      <c r="M11" s="357" t="s">
        <v>570</v>
      </c>
    </row>
    <row r="12" spans="1:1020" x14ac:dyDescent="0.25">
      <c r="A12" s="353" t="s">
        <v>571</v>
      </c>
      <c r="B12" s="353">
        <v>10</v>
      </c>
      <c r="C12" s="354">
        <f>347/500</f>
        <v>0.69399999999999995</v>
      </c>
      <c r="D12" s="354">
        <f>298/500</f>
        <v>0.59599999999999997</v>
      </c>
      <c r="E12" s="354" t="s">
        <v>572</v>
      </c>
      <c r="F12" s="355">
        <f>165/400</f>
        <v>0.41249999999999998</v>
      </c>
      <c r="G12" s="355">
        <f>377/400</f>
        <v>0.9425</v>
      </c>
      <c r="H12" s="355">
        <f>162/400</f>
        <v>0.40500000000000003</v>
      </c>
      <c r="I12" s="355">
        <f>326/400</f>
        <v>0.81499999999999995</v>
      </c>
      <c r="J12" s="356">
        <f t="shared" si="1"/>
        <v>3.46</v>
      </c>
      <c r="K12" s="356">
        <f>J12*1.1</f>
        <v>3.806</v>
      </c>
      <c r="L12" s="354" t="s">
        <v>103</v>
      </c>
      <c r="M12" s="357" t="s">
        <v>573</v>
      </c>
    </row>
    <row r="13" spans="1:1020" x14ac:dyDescent="0.25">
      <c r="A13" s="353" t="s">
        <v>574</v>
      </c>
      <c r="B13" s="353">
        <v>11</v>
      </c>
      <c r="C13" s="354">
        <f>366/500</f>
        <v>0.73199999999999998</v>
      </c>
      <c r="D13" s="354">
        <f>309/500</f>
        <v>0.61799999999999999</v>
      </c>
      <c r="E13" s="354" t="s">
        <v>575</v>
      </c>
      <c r="F13" s="355">
        <f>140/400</f>
        <v>0.35</v>
      </c>
      <c r="G13" s="355">
        <f>360/400</f>
        <v>0.9</v>
      </c>
      <c r="H13" s="355">
        <f>134/400</f>
        <v>0.33500000000000002</v>
      </c>
      <c r="I13" s="355">
        <f>400/400</f>
        <v>1</v>
      </c>
      <c r="J13" s="356">
        <f t="shared" si="1"/>
        <v>3.6</v>
      </c>
      <c r="K13" s="356">
        <f>J13</f>
        <v>3.6</v>
      </c>
      <c r="L13" s="358" t="s">
        <v>103</v>
      </c>
      <c r="M13" s="357" t="s">
        <v>576</v>
      </c>
    </row>
    <row r="14" spans="1:1020" x14ac:dyDescent="0.25">
      <c r="A14" s="353" t="s">
        <v>577</v>
      </c>
      <c r="B14" s="353">
        <v>10</v>
      </c>
      <c r="C14" s="354">
        <f>417/500</f>
        <v>0.83399999999999996</v>
      </c>
      <c r="D14" s="354">
        <f>240/500</f>
        <v>0.48</v>
      </c>
      <c r="E14" s="354" t="s">
        <v>578</v>
      </c>
      <c r="F14" s="355">
        <f>139/400</f>
        <v>0.34749999999999998</v>
      </c>
      <c r="G14" s="355">
        <f>225/400</f>
        <v>0.5625</v>
      </c>
      <c r="H14" s="355">
        <f>187/400</f>
        <v>0.46750000000000003</v>
      </c>
      <c r="I14" s="355">
        <f>333/400</f>
        <v>0.83250000000000002</v>
      </c>
      <c r="J14" s="356">
        <f t="shared" si="1"/>
        <v>3.1765000000000003</v>
      </c>
      <c r="K14" s="356">
        <f>J14*1.1</f>
        <v>3.4941500000000008</v>
      </c>
      <c r="L14" s="354"/>
      <c r="M14" s="357" t="s">
        <v>579</v>
      </c>
    </row>
    <row r="15" spans="1:1020" x14ac:dyDescent="0.25">
      <c r="A15" s="353" t="s">
        <v>580</v>
      </c>
      <c r="B15" s="353">
        <v>11</v>
      </c>
      <c r="C15" s="354">
        <f>417/500</f>
        <v>0.83399999999999996</v>
      </c>
      <c r="D15" s="354">
        <f>240/500</f>
        <v>0.48</v>
      </c>
      <c r="E15" s="354" t="s">
        <v>581</v>
      </c>
      <c r="F15" s="355">
        <f>131/400</f>
        <v>0.32750000000000001</v>
      </c>
      <c r="G15" s="355">
        <f>335/400</f>
        <v>0.83750000000000002</v>
      </c>
      <c r="H15" s="355">
        <f>162/400</f>
        <v>0.40500000000000003</v>
      </c>
      <c r="I15" s="355">
        <f>326/400</f>
        <v>0.81499999999999995</v>
      </c>
      <c r="J15" s="356">
        <f t="shared" si="1"/>
        <v>3.3715000000000002</v>
      </c>
      <c r="K15" s="356">
        <f>J15</f>
        <v>3.3715000000000002</v>
      </c>
      <c r="L15" s="354"/>
      <c r="M15" s="357" t="s">
        <v>582</v>
      </c>
    </row>
    <row r="16" spans="1:1020" x14ac:dyDescent="0.25">
      <c r="A16" s="353" t="s">
        <v>583</v>
      </c>
      <c r="B16" s="353">
        <v>11</v>
      </c>
      <c r="C16" s="354">
        <f>352/500</f>
        <v>0.70399999999999996</v>
      </c>
      <c r="D16" s="354">
        <f>228/500</f>
        <v>0.45600000000000002</v>
      </c>
      <c r="E16" s="354" t="s">
        <v>584</v>
      </c>
      <c r="F16" s="355">
        <f>117/400</f>
        <v>0.29249999999999998</v>
      </c>
      <c r="G16" s="355">
        <f>256/400</f>
        <v>0.64</v>
      </c>
      <c r="H16" s="355">
        <f>166/400</f>
        <v>0.41499999999999998</v>
      </c>
      <c r="I16" s="355">
        <f>353/400</f>
        <v>0.88249999999999995</v>
      </c>
      <c r="J16" s="356">
        <f t="shared" si="1"/>
        <v>3.0974999999999997</v>
      </c>
      <c r="K16" s="356">
        <f>J16</f>
        <v>3.0974999999999997</v>
      </c>
      <c r="L16" s="354"/>
      <c r="M16" s="357" t="s">
        <v>585</v>
      </c>
    </row>
    <row r="17" spans="1:13" x14ac:dyDescent="0.25">
      <c r="A17" s="353" t="s">
        <v>586</v>
      </c>
      <c r="B17" s="353">
        <v>11</v>
      </c>
      <c r="C17" s="354">
        <f>383/500</f>
        <v>0.76600000000000001</v>
      </c>
      <c r="D17" s="354">
        <f>309/500</f>
        <v>0.61799999999999999</v>
      </c>
      <c r="E17" s="354" t="s">
        <v>587</v>
      </c>
      <c r="F17" s="355">
        <f>157/400</f>
        <v>0.39250000000000002</v>
      </c>
      <c r="G17" s="355">
        <f>225/400</f>
        <v>0.5625</v>
      </c>
      <c r="H17" s="355">
        <f>141/400</f>
        <v>0.35249999999999998</v>
      </c>
      <c r="I17" s="355">
        <f>300/400</f>
        <v>0.75</v>
      </c>
      <c r="J17" s="356">
        <f t="shared" si="1"/>
        <v>3.089</v>
      </c>
      <c r="K17" s="356">
        <f>J17</f>
        <v>3.089</v>
      </c>
      <c r="L17" s="354"/>
      <c r="M17" s="357" t="s">
        <v>588</v>
      </c>
    </row>
    <row r="18" spans="1:13" x14ac:dyDescent="0.25">
      <c r="A18" s="353" t="s">
        <v>589</v>
      </c>
      <c r="B18" s="353">
        <v>9</v>
      </c>
      <c r="C18" s="354">
        <f>366/500</f>
        <v>0.73199999999999998</v>
      </c>
      <c r="D18" s="354">
        <f>234/500</f>
        <v>0.46800000000000003</v>
      </c>
      <c r="E18" s="354" t="s">
        <v>590</v>
      </c>
      <c r="F18" s="355">
        <f>140/400</f>
        <v>0.35</v>
      </c>
      <c r="G18" s="355">
        <f>140/400</f>
        <v>0.35</v>
      </c>
      <c r="H18" s="355">
        <f>116/400</f>
        <v>0.28999999999999998</v>
      </c>
      <c r="I18" s="355">
        <f>239/400</f>
        <v>0.59750000000000003</v>
      </c>
      <c r="J18" s="356">
        <f t="shared" si="1"/>
        <v>2.4975000000000001</v>
      </c>
      <c r="K18" s="356">
        <f>J18*1.2</f>
        <v>2.9969999999999999</v>
      </c>
      <c r="L18" s="354"/>
      <c r="M18" s="357" t="s">
        <v>591</v>
      </c>
    </row>
    <row r="19" spans="1:13" x14ac:dyDescent="0.25">
      <c r="A19" s="353" t="s">
        <v>592</v>
      </c>
      <c r="B19" s="353">
        <v>10</v>
      </c>
      <c r="C19" s="354">
        <f>326/500</f>
        <v>0.65200000000000002</v>
      </c>
      <c r="D19" s="354">
        <f>264/500</f>
        <v>0.52800000000000002</v>
      </c>
      <c r="E19" s="354" t="s">
        <v>593</v>
      </c>
      <c r="F19" s="355">
        <f>148/400</f>
        <v>0.37</v>
      </c>
      <c r="G19" s="355">
        <f>150/400</f>
        <v>0.375</v>
      </c>
      <c r="H19" s="355">
        <f>153/400</f>
        <v>0.38250000000000001</v>
      </c>
      <c r="I19" s="355">
        <f>220/400</f>
        <v>0.55000000000000004</v>
      </c>
      <c r="J19" s="356">
        <f t="shared" si="1"/>
        <v>2.4874999999999998</v>
      </c>
      <c r="K19" s="356">
        <f>J19*1.1</f>
        <v>2.7362500000000001</v>
      </c>
      <c r="M19" s="357" t="s">
        <v>594</v>
      </c>
    </row>
    <row r="20" spans="1:13" x14ac:dyDescent="0.25">
      <c r="A20" s="353" t="s">
        <v>526</v>
      </c>
      <c r="B20" s="353">
        <v>11</v>
      </c>
      <c r="C20" s="354">
        <f>500/500</f>
        <v>1</v>
      </c>
      <c r="D20" s="354">
        <f>500/500</f>
        <v>1</v>
      </c>
      <c r="E20" s="354" t="s">
        <v>595</v>
      </c>
      <c r="F20" s="355">
        <f>0/400</f>
        <v>0</v>
      </c>
      <c r="G20" s="355">
        <v>0</v>
      </c>
      <c r="H20" s="355">
        <v>0</v>
      </c>
      <c r="I20" s="355">
        <v>0</v>
      </c>
      <c r="J20" s="356">
        <f t="shared" si="1"/>
        <v>2</v>
      </c>
      <c r="K20" s="356">
        <f>J20</f>
        <v>2</v>
      </c>
      <c r="L20" s="354" t="s">
        <v>596</v>
      </c>
      <c r="M20" s="357" t="s">
        <v>597</v>
      </c>
    </row>
    <row r="21" spans="1:13" x14ac:dyDescent="0.25">
      <c r="J21" s="356"/>
    </row>
    <row r="22" spans="1:13" x14ac:dyDescent="0.25">
      <c r="L22" s="354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Roman,Звичайний"&amp;12&amp;A</oddHeader>
    <oddFooter>&amp;C&amp;"Times New Roman,Звичайний"&amp;12Сторінка &amp;P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F26"/>
  <sheetViews>
    <sheetView tabSelected="1" workbookViewId="0">
      <selection activeCell="R22" sqref="R22"/>
    </sheetView>
  </sheetViews>
  <sheetFormatPr defaultColWidth="9.140625" defaultRowHeight="15.75" x14ac:dyDescent="0.25"/>
  <cols>
    <col min="1" max="1" width="13.85546875" style="374" customWidth="1"/>
    <col min="2" max="2" width="4.140625" style="374" customWidth="1"/>
    <col min="3" max="4" width="8.28515625" style="382" customWidth="1"/>
    <col min="5" max="5" width="8.140625" style="383" customWidth="1"/>
    <col min="6" max="6" width="5.140625" style="383" customWidth="1"/>
    <col min="7" max="7" width="5.28515625" style="383" customWidth="1"/>
    <col min="8" max="8" width="5.42578125" style="383" customWidth="1"/>
    <col min="9" max="9" width="5.28515625" style="383" customWidth="1"/>
    <col min="10" max="10" width="7.85546875" style="374" customWidth="1"/>
    <col min="11" max="11" width="8.42578125" style="374" customWidth="1"/>
    <col min="12" max="12" width="8.42578125" style="383" customWidth="1"/>
    <col min="13" max="13" width="6.42578125" style="381" customWidth="1"/>
    <col min="14" max="1018" width="9.140625" style="374"/>
    <col min="1019" max="1020" width="9.140625" style="365"/>
    <col min="1021" max="16384" width="9.140625" style="169"/>
  </cols>
  <sheetData>
    <row r="1" spans="1:1020" s="364" customFormat="1" ht="57" x14ac:dyDescent="0.25">
      <c r="A1" s="359" t="s">
        <v>0</v>
      </c>
      <c r="B1" s="360" t="s">
        <v>1</v>
      </c>
      <c r="C1" s="361" t="s">
        <v>508</v>
      </c>
      <c r="D1" s="361" t="s">
        <v>509</v>
      </c>
      <c r="E1" s="362" t="s">
        <v>543</v>
      </c>
      <c r="F1" s="359">
        <v>1</v>
      </c>
      <c r="G1" s="359">
        <v>2</v>
      </c>
      <c r="H1" s="359">
        <v>3</v>
      </c>
      <c r="I1" s="359">
        <v>4</v>
      </c>
      <c r="J1" s="359" t="s">
        <v>397</v>
      </c>
      <c r="K1" s="359" t="s">
        <v>3</v>
      </c>
      <c r="L1" s="359" t="s">
        <v>4</v>
      </c>
      <c r="M1" s="363"/>
      <c r="AME1" s="365"/>
      <c r="AMF1" s="365"/>
    </row>
    <row r="2" spans="1:1020" x14ac:dyDescent="0.25">
      <c r="A2" s="366" t="s">
        <v>565</v>
      </c>
      <c r="B2" s="367">
        <v>10</v>
      </c>
      <c r="C2" s="368">
        <f>462/500</f>
        <v>0.92400000000000004</v>
      </c>
      <c r="D2" s="368">
        <f>414/500</f>
        <v>0.82799999999999996</v>
      </c>
      <c r="E2" s="369" t="s">
        <v>598</v>
      </c>
      <c r="F2" s="370">
        <f>400/400</f>
        <v>1</v>
      </c>
      <c r="G2" s="370">
        <f>351/400</f>
        <v>0.87749999999999995</v>
      </c>
      <c r="H2" s="370">
        <f>265/400</f>
        <v>0.66249999999999998</v>
      </c>
      <c r="I2" s="370">
        <f>400/400</f>
        <v>1</v>
      </c>
      <c r="J2" s="371">
        <f t="shared" ref="J2:J25" si="0">SUM(C2:I2)-MIN(C2:I2)</f>
        <v>4.6295000000000002</v>
      </c>
      <c r="K2" s="371">
        <f>J2*1.1</f>
        <v>5.0924500000000004</v>
      </c>
      <c r="L2" s="372" t="s">
        <v>103</v>
      </c>
      <c r="M2" s="373" t="s">
        <v>599</v>
      </c>
    </row>
    <row r="3" spans="1:1020" x14ac:dyDescent="0.25">
      <c r="A3" s="366" t="s">
        <v>600</v>
      </c>
      <c r="B3" s="367">
        <v>9</v>
      </c>
      <c r="C3" s="368">
        <f>378/500</f>
        <v>0.75600000000000001</v>
      </c>
      <c r="D3" s="368">
        <f>394/500</f>
        <v>0.78800000000000003</v>
      </c>
      <c r="E3" s="369" t="s">
        <v>601</v>
      </c>
      <c r="F3" s="370">
        <f>375/400</f>
        <v>0.9375</v>
      </c>
      <c r="G3" s="370">
        <f>321/400</f>
        <v>0.80249999999999999</v>
      </c>
      <c r="H3" s="370">
        <f>333/400</f>
        <v>0.83250000000000002</v>
      </c>
      <c r="I3" s="375">
        <f>336/400</f>
        <v>0.84</v>
      </c>
      <c r="J3" s="371">
        <f t="shared" si="0"/>
        <v>4.2004999999999999</v>
      </c>
      <c r="K3" s="371">
        <f>J3*1.2</f>
        <v>5.0405999999999995</v>
      </c>
      <c r="L3" s="372" t="s">
        <v>103</v>
      </c>
      <c r="M3" s="373" t="s">
        <v>599</v>
      </c>
    </row>
    <row r="4" spans="1:1020" x14ac:dyDescent="0.25">
      <c r="A4" s="366" t="s">
        <v>537</v>
      </c>
      <c r="B4" s="367">
        <v>11</v>
      </c>
      <c r="C4" s="368">
        <f>442/500</f>
        <v>0.88400000000000001</v>
      </c>
      <c r="D4" s="368">
        <f>451/500</f>
        <v>0.90200000000000002</v>
      </c>
      <c r="E4" s="369" t="s">
        <v>602</v>
      </c>
      <c r="F4" s="370">
        <f>400/400</f>
        <v>1</v>
      </c>
      <c r="G4" s="370">
        <f>400/400</f>
        <v>1</v>
      </c>
      <c r="H4" s="370">
        <f>400/400</f>
        <v>1</v>
      </c>
      <c r="I4" s="370">
        <f>400/400</f>
        <v>1</v>
      </c>
      <c r="J4" s="371">
        <f t="shared" si="0"/>
        <v>4.9019999999999992</v>
      </c>
      <c r="K4" s="371">
        <f>J4</f>
        <v>4.9019999999999992</v>
      </c>
      <c r="L4" s="376" t="s">
        <v>103</v>
      </c>
      <c r="M4" s="373" t="s">
        <v>599</v>
      </c>
    </row>
    <row r="5" spans="1:1020" x14ac:dyDescent="0.25">
      <c r="A5" s="366" t="s">
        <v>568</v>
      </c>
      <c r="B5" s="367">
        <v>11</v>
      </c>
      <c r="C5" s="368">
        <f>374/500</f>
        <v>0.748</v>
      </c>
      <c r="D5" s="368">
        <f>373/500</f>
        <v>0.746</v>
      </c>
      <c r="E5" s="369" t="s">
        <v>603</v>
      </c>
      <c r="F5" s="370">
        <f>400/400</f>
        <v>1</v>
      </c>
      <c r="G5" s="370">
        <f>251/400</f>
        <v>0.62749999999999995</v>
      </c>
      <c r="H5" s="370">
        <f>271/400</f>
        <v>0.67749999999999999</v>
      </c>
      <c r="I5" s="370">
        <f>400/400</f>
        <v>1</v>
      </c>
      <c r="J5" s="371">
        <f t="shared" si="0"/>
        <v>4.1715</v>
      </c>
      <c r="K5" s="371">
        <f>J5</f>
        <v>4.1715</v>
      </c>
      <c r="L5" s="372" t="s">
        <v>103</v>
      </c>
      <c r="M5" s="373" t="s">
        <v>599</v>
      </c>
    </row>
    <row r="6" spans="1:1020" x14ac:dyDescent="0.25">
      <c r="A6" s="366" t="s">
        <v>589</v>
      </c>
      <c r="B6" s="367">
        <v>9</v>
      </c>
      <c r="C6" s="368">
        <f>330/500</f>
        <v>0.66</v>
      </c>
      <c r="D6" s="368">
        <f>374/500</f>
        <v>0.748</v>
      </c>
      <c r="E6" s="369" t="s">
        <v>604</v>
      </c>
      <c r="F6" s="370">
        <f>140/400</f>
        <v>0.35</v>
      </c>
      <c r="G6" s="370">
        <f>200/400</f>
        <v>0.5</v>
      </c>
      <c r="H6" s="370">
        <f>259/400</f>
        <v>0.64749999999999996</v>
      </c>
      <c r="I6" s="375">
        <f>305/400</f>
        <v>0.76249999999999996</v>
      </c>
      <c r="J6" s="371">
        <f t="shared" si="0"/>
        <v>3.3180000000000001</v>
      </c>
      <c r="K6" s="371">
        <f>J6*1.2</f>
        <v>3.9815999999999998</v>
      </c>
      <c r="L6" s="372" t="s">
        <v>103</v>
      </c>
      <c r="M6" s="373" t="s">
        <v>599</v>
      </c>
    </row>
    <row r="7" spans="1:1020" x14ac:dyDescent="0.25">
      <c r="A7" s="366" t="s">
        <v>605</v>
      </c>
      <c r="B7" s="367">
        <v>9</v>
      </c>
      <c r="C7" s="368">
        <f>346/500</f>
        <v>0.69199999999999995</v>
      </c>
      <c r="D7" s="368">
        <f>332/500</f>
        <v>0.66400000000000003</v>
      </c>
      <c r="E7" s="369" t="s">
        <v>606</v>
      </c>
      <c r="F7" s="370">
        <f>82/400</f>
        <v>0.20499999999999999</v>
      </c>
      <c r="G7" s="370">
        <f>225/400</f>
        <v>0.5625</v>
      </c>
      <c r="H7" s="370">
        <f>271/400</f>
        <v>0.67749999999999999</v>
      </c>
      <c r="I7" s="375">
        <f>228/400</f>
        <v>0.56999999999999995</v>
      </c>
      <c r="J7" s="371">
        <f t="shared" si="0"/>
        <v>3.1659999999999999</v>
      </c>
      <c r="K7" s="371">
        <f>J7*1.2</f>
        <v>3.7991999999999999</v>
      </c>
      <c r="L7" s="372" t="s">
        <v>103</v>
      </c>
      <c r="M7" s="373" t="s">
        <v>599</v>
      </c>
    </row>
    <row r="8" spans="1:1020" x14ac:dyDescent="0.25">
      <c r="A8" s="366" t="s">
        <v>607</v>
      </c>
      <c r="B8" s="367">
        <v>9</v>
      </c>
      <c r="C8" s="368">
        <f>336/500</f>
        <v>0.67200000000000004</v>
      </c>
      <c r="D8" s="368">
        <f>320/500</f>
        <v>0.64</v>
      </c>
      <c r="E8" s="369" t="s">
        <v>608</v>
      </c>
      <c r="F8" s="370">
        <f>173/400</f>
        <v>0.4325</v>
      </c>
      <c r="G8" s="370">
        <f>225/400</f>
        <v>0.5625</v>
      </c>
      <c r="H8" s="370">
        <f>254/400</f>
        <v>0.63500000000000001</v>
      </c>
      <c r="I8" s="375">
        <f>238/400</f>
        <v>0.59499999999999997</v>
      </c>
      <c r="J8" s="371">
        <f t="shared" si="0"/>
        <v>3.1044999999999998</v>
      </c>
      <c r="K8" s="371">
        <f>J8*1.2</f>
        <v>3.7253999999999996</v>
      </c>
      <c r="L8" s="372" t="s">
        <v>103</v>
      </c>
      <c r="M8" s="373" t="s">
        <v>599</v>
      </c>
    </row>
    <row r="9" spans="1:1020" x14ac:dyDescent="0.25">
      <c r="A9" s="366" t="s">
        <v>609</v>
      </c>
      <c r="B9" s="367">
        <v>11</v>
      </c>
      <c r="C9" s="368">
        <f>392/500</f>
        <v>0.78400000000000003</v>
      </c>
      <c r="D9" s="368">
        <f>414/500</f>
        <v>0.82799999999999996</v>
      </c>
      <c r="E9" s="369" t="s">
        <v>610</v>
      </c>
      <c r="F9" s="370">
        <f>196/400</f>
        <v>0.49</v>
      </c>
      <c r="G9" s="370">
        <f>246/400</f>
        <v>0.61499999999999999</v>
      </c>
      <c r="H9" s="370">
        <f>254/400</f>
        <v>0.63500000000000001</v>
      </c>
      <c r="I9" s="375">
        <f>300/400</f>
        <v>0.75</v>
      </c>
      <c r="J9" s="371">
        <f t="shared" si="0"/>
        <v>3.6120000000000001</v>
      </c>
      <c r="K9" s="371">
        <f>J9</f>
        <v>3.6120000000000001</v>
      </c>
      <c r="L9" s="372" t="s">
        <v>103</v>
      </c>
      <c r="M9" s="373" t="s">
        <v>599</v>
      </c>
    </row>
    <row r="10" spans="1:1020" x14ac:dyDescent="0.25">
      <c r="A10" s="366" t="s">
        <v>611</v>
      </c>
      <c r="B10" s="367">
        <v>10</v>
      </c>
      <c r="C10" s="368">
        <f>322/500</f>
        <v>0.64400000000000002</v>
      </c>
      <c r="D10" s="368">
        <f>334/500</f>
        <v>0.66800000000000004</v>
      </c>
      <c r="E10" s="369" t="s">
        <v>612</v>
      </c>
      <c r="F10" s="370">
        <f>231/400</f>
        <v>0.57750000000000001</v>
      </c>
      <c r="G10" s="370">
        <f>225/400</f>
        <v>0.5625</v>
      </c>
      <c r="H10" s="370">
        <f>160/400</f>
        <v>0.4</v>
      </c>
      <c r="I10" s="375">
        <f>278/400</f>
        <v>0.69499999999999995</v>
      </c>
      <c r="J10" s="371">
        <f t="shared" si="0"/>
        <v>3.1469999999999998</v>
      </c>
      <c r="K10" s="371">
        <f>J10*1.1</f>
        <v>3.4617</v>
      </c>
      <c r="L10" s="372" t="s">
        <v>103</v>
      </c>
      <c r="M10" s="373" t="s">
        <v>599</v>
      </c>
    </row>
    <row r="11" spans="1:1020" x14ac:dyDescent="0.25">
      <c r="A11" s="366" t="s">
        <v>613</v>
      </c>
      <c r="B11" s="367">
        <v>9</v>
      </c>
      <c r="C11" s="368">
        <f>356/500</f>
        <v>0.71199999999999997</v>
      </c>
      <c r="D11" s="368">
        <f>315/500</f>
        <v>0.63</v>
      </c>
      <c r="E11" s="369" t="s">
        <v>614</v>
      </c>
      <c r="F11" s="370">
        <f>70/400</f>
        <v>0.17499999999999999</v>
      </c>
      <c r="G11" s="370">
        <f>193/400</f>
        <v>0.48249999999999998</v>
      </c>
      <c r="H11" s="370">
        <f>194/400</f>
        <v>0.48499999999999999</v>
      </c>
      <c r="I11" s="375">
        <f>228/400</f>
        <v>0.56999999999999995</v>
      </c>
      <c r="J11" s="371">
        <f t="shared" si="0"/>
        <v>2.8795000000000002</v>
      </c>
      <c r="K11" s="371">
        <f>J11*1.2</f>
        <v>3.4554</v>
      </c>
      <c r="L11" s="372" t="s">
        <v>103</v>
      </c>
      <c r="M11" s="373" t="s">
        <v>599</v>
      </c>
    </row>
    <row r="12" spans="1:1020" x14ac:dyDescent="0.25">
      <c r="A12" s="366" t="s">
        <v>615</v>
      </c>
      <c r="B12" s="367">
        <v>10</v>
      </c>
      <c r="C12" s="368">
        <f>334/500</f>
        <v>0.66800000000000004</v>
      </c>
      <c r="D12" s="368">
        <f>308/500</f>
        <v>0.61599999999999999</v>
      </c>
      <c r="E12" s="369" t="s">
        <v>616</v>
      </c>
      <c r="F12" s="370">
        <f>164/400</f>
        <v>0.41</v>
      </c>
      <c r="G12" s="370">
        <f>256/400</f>
        <v>0.64</v>
      </c>
      <c r="H12" s="370">
        <f>228/400</f>
        <v>0.56999999999999995</v>
      </c>
      <c r="I12" s="375">
        <f>228/400</f>
        <v>0.56999999999999995</v>
      </c>
      <c r="J12" s="371">
        <f t="shared" si="0"/>
        <v>3.0639999999999996</v>
      </c>
      <c r="K12" s="371">
        <f>J12*1.1</f>
        <v>3.3704000000000001</v>
      </c>
      <c r="L12" s="372" t="s">
        <v>103</v>
      </c>
      <c r="M12" s="373" t="s">
        <v>599</v>
      </c>
    </row>
    <row r="13" spans="1:1020" x14ac:dyDescent="0.25">
      <c r="A13" s="366" t="s">
        <v>617</v>
      </c>
      <c r="B13" s="367">
        <v>10</v>
      </c>
      <c r="C13" s="368">
        <f>344/500</f>
        <v>0.68799999999999994</v>
      </c>
      <c r="D13" s="368">
        <f>332/500</f>
        <v>0.66400000000000003</v>
      </c>
      <c r="E13" s="369" t="s">
        <v>618</v>
      </c>
      <c r="F13" s="370">
        <f>91/400</f>
        <v>0.22750000000000001</v>
      </c>
      <c r="G13" s="370">
        <f>246/400</f>
        <v>0.61499999999999999</v>
      </c>
      <c r="H13" s="370">
        <f>174/400</f>
        <v>0.435</v>
      </c>
      <c r="I13" s="375">
        <f>228/400</f>
        <v>0.56999999999999995</v>
      </c>
      <c r="J13" s="371">
        <f t="shared" si="0"/>
        <v>2.9719999999999995</v>
      </c>
      <c r="K13" s="371">
        <f>J13*1.1</f>
        <v>3.2691999999999997</v>
      </c>
      <c r="L13" s="372" t="s">
        <v>103</v>
      </c>
      <c r="M13" s="373" t="s">
        <v>599</v>
      </c>
    </row>
    <row r="14" spans="1:1020" x14ac:dyDescent="0.25">
      <c r="A14" s="366" t="s">
        <v>571</v>
      </c>
      <c r="B14" s="367">
        <v>11</v>
      </c>
      <c r="C14" s="368">
        <f>344/500</f>
        <v>0.68799999999999994</v>
      </c>
      <c r="D14" s="368">
        <f>360/500</f>
        <v>0.72</v>
      </c>
      <c r="E14" s="369" t="s">
        <v>619</v>
      </c>
      <c r="F14" s="370">
        <f>200/400</f>
        <v>0.5</v>
      </c>
      <c r="G14" s="370">
        <f>235/400</f>
        <v>0.58750000000000002</v>
      </c>
      <c r="H14" s="370">
        <f>176/400</f>
        <v>0.44</v>
      </c>
      <c r="I14" s="375">
        <f>228/400</f>
        <v>0.56999999999999995</v>
      </c>
      <c r="J14" s="371">
        <f t="shared" si="0"/>
        <v>3.0654999999999997</v>
      </c>
      <c r="K14" s="371">
        <f>J14</f>
        <v>3.0654999999999997</v>
      </c>
      <c r="L14" s="372" t="s">
        <v>103</v>
      </c>
      <c r="M14" s="373" t="s">
        <v>599</v>
      </c>
    </row>
    <row r="15" spans="1:1020" x14ac:dyDescent="0.25">
      <c r="A15" s="366" t="s">
        <v>620</v>
      </c>
      <c r="B15" s="367">
        <v>10</v>
      </c>
      <c r="C15" s="368">
        <f>281/500</f>
        <v>0.56200000000000006</v>
      </c>
      <c r="D15" s="368">
        <f>329/500</f>
        <v>0.65800000000000003</v>
      </c>
      <c r="E15" s="369" t="s">
        <v>621</v>
      </c>
      <c r="F15" s="370">
        <f>15/400</f>
        <v>3.7499999999999999E-2</v>
      </c>
      <c r="G15" s="370">
        <f>200/400</f>
        <v>0.5</v>
      </c>
      <c r="H15" s="370">
        <f>179/400</f>
        <v>0.44750000000000001</v>
      </c>
      <c r="I15" s="375">
        <f>214/400</f>
        <v>0.53500000000000003</v>
      </c>
      <c r="J15" s="371">
        <f t="shared" si="0"/>
        <v>2.7025000000000001</v>
      </c>
      <c r="K15" s="371">
        <f>J15*1.1</f>
        <v>2.9727500000000004</v>
      </c>
      <c r="L15" s="372" t="s">
        <v>103</v>
      </c>
      <c r="M15" s="373" t="s">
        <v>599</v>
      </c>
    </row>
    <row r="16" spans="1:1020" x14ac:dyDescent="0.25">
      <c r="A16" s="366" t="s">
        <v>622</v>
      </c>
      <c r="B16" s="367">
        <v>11</v>
      </c>
      <c r="C16" s="368">
        <f>330/500</f>
        <v>0.66</v>
      </c>
      <c r="D16" s="368">
        <f>322/500</f>
        <v>0.64400000000000002</v>
      </c>
      <c r="E16" s="369" t="s">
        <v>623</v>
      </c>
      <c r="F16" s="370">
        <f>169/400</f>
        <v>0.42249999999999999</v>
      </c>
      <c r="G16" s="370">
        <f>221/400</f>
        <v>0.55249999999999999</v>
      </c>
      <c r="H16" s="370">
        <f>194/400</f>
        <v>0.48499999999999999</v>
      </c>
      <c r="I16" s="375">
        <f>228/400</f>
        <v>0.56999999999999995</v>
      </c>
      <c r="J16" s="371">
        <f t="shared" si="0"/>
        <v>2.9114999999999998</v>
      </c>
      <c r="K16" s="371">
        <f>J16</f>
        <v>2.9114999999999998</v>
      </c>
      <c r="L16" s="376"/>
      <c r="M16" s="373" t="s">
        <v>599</v>
      </c>
    </row>
    <row r="17" spans="1:13" x14ac:dyDescent="0.25">
      <c r="A17" s="366" t="s">
        <v>624</v>
      </c>
      <c r="B17" s="367">
        <v>10</v>
      </c>
      <c r="C17" s="368">
        <f>295/500</f>
        <v>0.59</v>
      </c>
      <c r="D17" s="368">
        <f>308/500</f>
        <v>0.61599999999999999</v>
      </c>
      <c r="E17" s="369" t="s">
        <v>625</v>
      </c>
      <c r="F17" s="370">
        <f>59/400</f>
        <v>0.14749999999999999</v>
      </c>
      <c r="G17" s="370">
        <f>200/400</f>
        <v>0.5</v>
      </c>
      <c r="H17" s="370">
        <f>154/400</f>
        <v>0.38500000000000001</v>
      </c>
      <c r="I17" s="375">
        <f>214/400</f>
        <v>0.53500000000000003</v>
      </c>
      <c r="J17" s="371">
        <f t="shared" si="0"/>
        <v>2.6260000000000003</v>
      </c>
      <c r="K17" s="371">
        <f>J17*1.1</f>
        <v>2.8886000000000007</v>
      </c>
      <c r="L17" s="376"/>
      <c r="M17" s="373" t="s">
        <v>599</v>
      </c>
    </row>
    <row r="18" spans="1:13" x14ac:dyDescent="0.25">
      <c r="A18" s="366" t="s">
        <v>626</v>
      </c>
      <c r="B18" s="367">
        <v>10</v>
      </c>
      <c r="C18" s="368">
        <f>330/500</f>
        <v>0.66</v>
      </c>
      <c r="D18" s="368">
        <f>306/500</f>
        <v>0.61199999999999999</v>
      </c>
      <c r="E18" s="369" t="s">
        <v>627</v>
      </c>
      <c r="F18" s="370">
        <f>125/400</f>
        <v>0.3125</v>
      </c>
      <c r="G18" s="370">
        <f>251/400</f>
        <v>0.62749999999999995</v>
      </c>
      <c r="H18" s="370">
        <f>140/400</f>
        <v>0.35</v>
      </c>
      <c r="I18" s="375">
        <f>130/400</f>
        <v>0.32500000000000001</v>
      </c>
      <c r="J18" s="371">
        <f t="shared" si="0"/>
        <v>2.5745</v>
      </c>
      <c r="K18" s="371">
        <f>J18*1.1</f>
        <v>2.8319500000000004</v>
      </c>
      <c r="L18" s="376"/>
      <c r="M18" s="373" t="s">
        <v>599</v>
      </c>
    </row>
    <row r="19" spans="1:13" x14ac:dyDescent="0.25">
      <c r="A19" s="366" t="s">
        <v>628</v>
      </c>
      <c r="B19" s="367">
        <v>8</v>
      </c>
      <c r="C19" s="368">
        <f>330/500</f>
        <v>0.66</v>
      </c>
      <c r="D19" s="368">
        <f>308/500</f>
        <v>0.61599999999999999</v>
      </c>
      <c r="E19" s="369" t="s">
        <v>629</v>
      </c>
      <c r="F19" s="370">
        <f>0/400</f>
        <v>0</v>
      </c>
      <c r="G19" s="370">
        <f>193/400</f>
        <v>0.48249999999999998</v>
      </c>
      <c r="H19" s="370">
        <f>110/400</f>
        <v>0.27500000000000002</v>
      </c>
      <c r="I19" s="375">
        <f>17/400</f>
        <v>4.2500000000000003E-2</v>
      </c>
      <c r="J19" s="371">
        <f t="shared" si="0"/>
        <v>2.0760000000000001</v>
      </c>
      <c r="K19" s="371">
        <f>J19*1.2</f>
        <v>2.4912000000000001</v>
      </c>
      <c r="L19" s="376"/>
      <c r="M19" s="373" t="s">
        <v>599</v>
      </c>
    </row>
    <row r="20" spans="1:13" x14ac:dyDescent="0.25">
      <c r="A20" s="377" t="s">
        <v>630</v>
      </c>
      <c r="B20" s="367">
        <v>10</v>
      </c>
      <c r="C20" s="368">
        <f>308/500</f>
        <v>0.61599999999999999</v>
      </c>
      <c r="D20" s="368">
        <f>310/500</f>
        <v>0.62</v>
      </c>
      <c r="E20" s="369" t="s">
        <v>631</v>
      </c>
      <c r="F20" s="370">
        <f>60/400</f>
        <v>0.15</v>
      </c>
      <c r="G20" s="370">
        <f>156/400</f>
        <v>0.39</v>
      </c>
      <c r="H20" s="370">
        <f>140/400</f>
        <v>0.35</v>
      </c>
      <c r="I20" s="375">
        <f>0/400</f>
        <v>0</v>
      </c>
      <c r="J20" s="371">
        <f t="shared" si="0"/>
        <v>2.1259999999999999</v>
      </c>
      <c r="K20" s="371">
        <f>J20*1.1</f>
        <v>2.3386</v>
      </c>
      <c r="L20" s="376"/>
      <c r="M20" s="373" t="s">
        <v>599</v>
      </c>
    </row>
    <row r="21" spans="1:13" x14ac:dyDescent="0.25">
      <c r="A21" s="366" t="s">
        <v>632</v>
      </c>
      <c r="B21" s="367">
        <v>9</v>
      </c>
      <c r="C21" s="368">
        <f>303/500</f>
        <v>0.60599999999999998</v>
      </c>
      <c r="D21" s="368">
        <f>321/500</f>
        <v>0.64200000000000002</v>
      </c>
      <c r="E21" s="369" t="s">
        <v>633</v>
      </c>
      <c r="F21" s="370">
        <f>0/400</f>
        <v>0</v>
      </c>
      <c r="G21" s="370">
        <f>225/400</f>
        <v>0.5625</v>
      </c>
      <c r="H21" s="370">
        <f>0/400</f>
        <v>0</v>
      </c>
      <c r="I21" s="375">
        <f>20/400</f>
        <v>0.05</v>
      </c>
      <c r="J21" s="371">
        <f t="shared" si="0"/>
        <v>1.8605</v>
      </c>
      <c r="K21" s="371">
        <f>J21*1.2</f>
        <v>2.2326000000000001</v>
      </c>
      <c r="L21" s="376"/>
      <c r="M21" s="373" t="s">
        <v>599</v>
      </c>
    </row>
    <row r="22" spans="1:13" x14ac:dyDescent="0.25">
      <c r="A22" s="366" t="s">
        <v>634</v>
      </c>
      <c r="B22" s="367">
        <v>11</v>
      </c>
      <c r="C22" s="368">
        <f>309/500</f>
        <v>0.61799999999999999</v>
      </c>
      <c r="D22" s="368">
        <f>300/500</f>
        <v>0.6</v>
      </c>
      <c r="E22" s="369" t="s">
        <v>635</v>
      </c>
      <c r="F22" s="370">
        <f>0/400</f>
        <v>0</v>
      </c>
      <c r="G22" s="370">
        <f>0/400</f>
        <v>0</v>
      </c>
      <c r="H22" s="370">
        <f>140/400</f>
        <v>0.35</v>
      </c>
      <c r="I22" s="375">
        <f>100/400</f>
        <v>0.25</v>
      </c>
      <c r="J22" s="371">
        <f t="shared" si="0"/>
        <v>1.8180000000000001</v>
      </c>
      <c r="K22" s="371">
        <f>J22</f>
        <v>1.8180000000000001</v>
      </c>
      <c r="L22" s="376"/>
      <c r="M22" s="373" t="s">
        <v>599</v>
      </c>
    </row>
    <row r="23" spans="1:13" x14ac:dyDescent="0.25">
      <c r="A23" s="366" t="s">
        <v>547</v>
      </c>
      <c r="B23" s="367">
        <v>11</v>
      </c>
      <c r="C23" s="368">
        <f>394/500</f>
        <v>0.78800000000000003</v>
      </c>
      <c r="D23" s="368">
        <f>437/500</f>
        <v>0.874</v>
      </c>
      <c r="E23" s="369" t="s">
        <v>636</v>
      </c>
      <c r="F23" s="370">
        <f>0/400</f>
        <v>0</v>
      </c>
      <c r="G23" s="370">
        <f>0/400</f>
        <v>0</v>
      </c>
      <c r="H23" s="370">
        <f t="shared" ref="H23:I25" si="1">0/400</f>
        <v>0</v>
      </c>
      <c r="I23" s="375">
        <f t="shared" si="1"/>
        <v>0</v>
      </c>
      <c r="J23" s="371">
        <f t="shared" si="0"/>
        <v>1.6619999999999999</v>
      </c>
      <c r="K23" s="371">
        <f>J23</f>
        <v>1.6619999999999999</v>
      </c>
      <c r="L23" s="376" t="s">
        <v>103</v>
      </c>
      <c r="M23" s="373" t="s">
        <v>599</v>
      </c>
    </row>
    <row r="24" spans="1:13" x14ac:dyDescent="0.25">
      <c r="A24" s="366" t="s">
        <v>637</v>
      </c>
      <c r="B24" s="367">
        <v>9</v>
      </c>
      <c r="C24" s="368">
        <f>302/500</f>
        <v>0.60399999999999998</v>
      </c>
      <c r="D24" s="368">
        <f>300/500</f>
        <v>0.6</v>
      </c>
      <c r="E24" s="369" t="s">
        <v>638</v>
      </c>
      <c r="F24" s="370">
        <f>25/400</f>
        <v>6.25E-2</v>
      </c>
      <c r="G24" s="370">
        <f>0/400</f>
        <v>0</v>
      </c>
      <c r="H24" s="370">
        <f t="shared" si="1"/>
        <v>0</v>
      </c>
      <c r="I24" s="375">
        <f t="shared" si="1"/>
        <v>0</v>
      </c>
      <c r="J24" s="371">
        <f t="shared" si="0"/>
        <v>1.2665</v>
      </c>
      <c r="K24" s="371">
        <f>J24*1.2</f>
        <v>1.5197999999999998</v>
      </c>
      <c r="L24" s="376"/>
      <c r="M24" s="373" t="s">
        <v>599</v>
      </c>
    </row>
    <row r="25" spans="1:13" x14ac:dyDescent="0.25">
      <c r="A25" s="366" t="s">
        <v>639</v>
      </c>
      <c r="B25" s="367">
        <v>11</v>
      </c>
      <c r="C25" s="368">
        <f>286/500</f>
        <v>0.57199999999999995</v>
      </c>
      <c r="D25" s="368">
        <f>318/500</f>
        <v>0.63600000000000001</v>
      </c>
      <c r="E25" s="369" t="s">
        <v>640</v>
      </c>
      <c r="F25" s="370">
        <f>50/400</f>
        <v>0.125</v>
      </c>
      <c r="G25" s="370">
        <f>0/400</f>
        <v>0</v>
      </c>
      <c r="H25" s="370">
        <f t="shared" si="1"/>
        <v>0</v>
      </c>
      <c r="I25" s="375">
        <f t="shared" si="1"/>
        <v>0</v>
      </c>
      <c r="J25" s="371">
        <f t="shared" si="0"/>
        <v>1.333</v>
      </c>
      <c r="K25" s="371">
        <f>J25</f>
        <v>1.333</v>
      </c>
      <c r="L25" s="376"/>
      <c r="M25" s="373" t="s">
        <v>599</v>
      </c>
    </row>
    <row r="26" spans="1:13" x14ac:dyDescent="0.25">
      <c r="A26" s="378"/>
      <c r="B26" s="378"/>
      <c r="C26" s="379"/>
      <c r="D26" s="379"/>
      <c r="E26" s="380"/>
      <c r="F26" s="380"/>
      <c r="G26" s="380"/>
      <c r="H26" s="380"/>
      <c r="I26" s="380"/>
      <c r="J26" s="378"/>
      <c r="K26" s="378"/>
      <c r="L26" s="380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12"/>
  <sheetViews>
    <sheetView zoomScaleNormal="100" workbookViewId="0">
      <selection activeCell="K3" sqref="K3"/>
    </sheetView>
  </sheetViews>
  <sheetFormatPr defaultColWidth="9.140625" defaultRowHeight="15.75" x14ac:dyDescent="0.25"/>
  <cols>
    <col min="1" max="1" width="36" style="10" customWidth="1"/>
    <col min="2" max="2" width="8.140625" style="22" customWidth="1"/>
    <col min="3" max="3" width="6.140625" style="22" customWidth="1"/>
    <col min="4" max="6" width="6.7109375" style="23" customWidth="1"/>
    <col min="7" max="10" width="6.7109375" style="11" customWidth="1"/>
    <col min="11" max="11" width="8.28515625" style="11" customWidth="1"/>
    <col min="12" max="12" width="6.7109375" style="22" customWidth="1"/>
    <col min="13" max="13" width="9.140625" style="24"/>
    <col min="14" max="1024" width="9.140625" style="10"/>
  </cols>
  <sheetData>
    <row r="1" spans="1:13" s="15" customFormat="1" ht="18" customHeight="1" x14ac:dyDescent="0.25">
      <c r="A1" s="12" t="s">
        <v>119</v>
      </c>
      <c r="B1" s="12" t="s">
        <v>2</v>
      </c>
      <c r="C1" s="12" t="s">
        <v>1</v>
      </c>
      <c r="D1" s="14" t="s">
        <v>120</v>
      </c>
      <c r="E1" s="14" t="s">
        <v>121</v>
      </c>
      <c r="F1" s="25" t="s">
        <v>122</v>
      </c>
      <c r="G1" s="14" t="s">
        <v>123</v>
      </c>
      <c r="H1" s="26" t="s">
        <v>124</v>
      </c>
      <c r="I1" s="14" t="s">
        <v>125</v>
      </c>
      <c r="J1" s="14" t="s">
        <v>126</v>
      </c>
      <c r="K1" s="27" t="s">
        <v>127</v>
      </c>
      <c r="L1" s="12" t="s">
        <v>3</v>
      </c>
      <c r="M1" s="12" t="s">
        <v>4</v>
      </c>
    </row>
    <row r="2" spans="1:13" x14ac:dyDescent="0.25">
      <c r="A2" s="28" t="s">
        <v>128</v>
      </c>
      <c r="B2" s="29">
        <v>171</v>
      </c>
      <c r="C2" s="29">
        <v>9</v>
      </c>
      <c r="D2" s="30">
        <v>1</v>
      </c>
      <c r="E2" s="31">
        <f>(9+10)/21</f>
        <v>0.90476190476190477</v>
      </c>
      <c r="F2" s="31">
        <f>(10+14)/44</f>
        <v>0.54545454545454541</v>
      </c>
      <c r="G2" s="32">
        <v>1</v>
      </c>
      <c r="H2" s="31">
        <f>(2+26)/86</f>
        <v>0.32558139534883723</v>
      </c>
      <c r="I2" s="31">
        <f>((2+2+0+0+2)+(2+2+2+2))/26</f>
        <v>0.53846153846153844</v>
      </c>
      <c r="J2" s="32">
        <v>1</v>
      </c>
      <c r="K2" s="31">
        <f>(0+(6+6+6+6+6+0))/117</f>
        <v>0.25641025641025639</v>
      </c>
      <c r="L2" s="33">
        <f t="shared" ref="L2:L16" si="0">SUM(D2:K2,-MIN(D2:K2))</f>
        <v>5.3142593840268262</v>
      </c>
      <c r="M2" s="19" t="s">
        <v>103</v>
      </c>
    </row>
    <row r="3" spans="1:13" x14ac:dyDescent="0.25">
      <c r="A3" s="34" t="s">
        <v>129</v>
      </c>
      <c r="B3" s="29" t="s">
        <v>6</v>
      </c>
      <c r="C3" s="6">
        <v>10</v>
      </c>
      <c r="D3" s="31">
        <f>((5+0+0+0+0+0+0+0+0+0+5+5)+(6+6+6+6+6+6+6+6+6+0))/120</f>
        <v>0.57499999999999996</v>
      </c>
      <c r="E3" s="31">
        <f>(9+0)/21</f>
        <v>0.42857142857142855</v>
      </c>
      <c r="F3" s="18">
        <f>(10+2)/44</f>
        <v>0.27272727272727271</v>
      </c>
      <c r="G3" s="32">
        <v>1</v>
      </c>
      <c r="H3" s="31">
        <f>(8+34)/86</f>
        <v>0.48837209302325579</v>
      </c>
      <c r="I3" s="31">
        <f>(10+(2+4+2+4))/26</f>
        <v>0.84615384615384615</v>
      </c>
      <c r="J3" s="31">
        <f>((1+1+1+1+1+1+1+1+0+0+0)+12)/26</f>
        <v>0.76923076923076927</v>
      </c>
      <c r="K3" s="32">
        <v>1</v>
      </c>
      <c r="L3" s="33">
        <f t="shared" si="0"/>
        <v>5.1073281369793007</v>
      </c>
      <c r="M3" s="19" t="s">
        <v>103</v>
      </c>
    </row>
    <row r="4" spans="1:13" x14ac:dyDescent="0.25">
      <c r="A4" s="28" t="s">
        <v>130</v>
      </c>
      <c r="B4" s="29">
        <v>171</v>
      </c>
      <c r="C4" s="29">
        <v>10</v>
      </c>
      <c r="D4" s="31">
        <f>(0+54)/120</f>
        <v>0.45</v>
      </c>
      <c r="E4" s="31">
        <f>(6+0)/21</f>
        <v>0.2857142857142857</v>
      </c>
      <c r="F4" s="35">
        <f>(10+1)/44</f>
        <v>0.25</v>
      </c>
      <c r="G4" s="31">
        <f>(20+20)/50</f>
        <v>0.8</v>
      </c>
      <c r="H4" s="31">
        <f>(10+22)/86</f>
        <v>0.37209302325581395</v>
      </c>
      <c r="I4" s="36">
        <v>0</v>
      </c>
      <c r="J4" s="31">
        <f>((1+1+1+1+1+1+1+1+0+0+0)+0)/26</f>
        <v>0.30769230769230771</v>
      </c>
      <c r="K4" s="31">
        <f>((3+3+3+3+3+3+0+0+0+0+0+0+0+0+0+0+0+0+0+0)+(6+6+6+6+6+6))/117</f>
        <v>0.46153846153846156</v>
      </c>
      <c r="L4" s="33">
        <f t="shared" si="0"/>
        <v>2.9270380782008694</v>
      </c>
      <c r="M4" s="37" t="s">
        <v>103</v>
      </c>
    </row>
    <row r="5" spans="1:13" x14ac:dyDescent="0.25">
      <c r="A5" s="34" t="s">
        <v>131</v>
      </c>
      <c r="B5" s="29">
        <v>100</v>
      </c>
      <c r="C5" s="6">
        <v>10</v>
      </c>
      <c r="D5" s="31">
        <f>((5+4+2+2+0+0+0+0+0+0+0+1)+(2+2+2+2+2+2+2+2+0+0))/120</f>
        <v>0.25</v>
      </c>
      <c r="E5" s="31">
        <f>(9+0)/21</f>
        <v>0.42857142857142855</v>
      </c>
      <c r="F5" s="31">
        <f>(10+12)/44</f>
        <v>0.5</v>
      </c>
      <c r="G5" s="31">
        <f>(0+20)/50</f>
        <v>0.4</v>
      </c>
      <c r="H5" s="31">
        <f>(14+24)/86</f>
        <v>0.44186046511627908</v>
      </c>
      <c r="I5" s="31">
        <f>((2+0+0+0+0)+(2+4+2+2))/26</f>
        <v>0.46153846153846156</v>
      </c>
      <c r="J5" s="31">
        <f>((1+1+1+1+1+1+1+1+0+0+0)+0)/26</f>
        <v>0.30769230769230771</v>
      </c>
      <c r="K5" s="31">
        <f>(0+36)/117</f>
        <v>0.30769230769230771</v>
      </c>
      <c r="L5" s="38">
        <f t="shared" si="0"/>
        <v>2.8473549706107848</v>
      </c>
      <c r="M5" s="37" t="s">
        <v>103</v>
      </c>
    </row>
    <row r="6" spans="1:13" x14ac:dyDescent="0.25">
      <c r="A6" s="28" t="s">
        <v>132</v>
      </c>
      <c r="B6" s="29">
        <v>145</v>
      </c>
      <c r="C6" s="29">
        <v>9</v>
      </c>
      <c r="D6" s="31">
        <f>(0+20)/120</f>
        <v>0.16666666666666666</v>
      </c>
      <c r="E6" s="32">
        <v>1</v>
      </c>
      <c r="F6" s="31">
        <f>(0+10)/44</f>
        <v>0.22727272727272727</v>
      </c>
      <c r="G6" s="31">
        <f>(0+(0+0+2+4+4+0))/50</f>
        <v>0.2</v>
      </c>
      <c r="H6" s="31">
        <f>(0+8)/86</f>
        <v>9.3023255813953487E-2</v>
      </c>
      <c r="I6" s="31">
        <f>(0+9)/26</f>
        <v>0.34615384615384615</v>
      </c>
      <c r="J6" s="31">
        <f>((1+1+1+1+1+0+1+1+2+0+0)+0)/26</f>
        <v>0.34615384615384615</v>
      </c>
      <c r="K6" s="36">
        <v>0</v>
      </c>
      <c r="L6" s="33">
        <f t="shared" si="0"/>
        <v>2.3792703420610399</v>
      </c>
      <c r="M6" s="37" t="s">
        <v>103</v>
      </c>
    </row>
    <row r="7" spans="1:13" x14ac:dyDescent="0.25">
      <c r="A7" s="34" t="s">
        <v>133</v>
      </c>
      <c r="B7" s="29" t="s">
        <v>6</v>
      </c>
      <c r="C7" s="6">
        <v>10</v>
      </c>
      <c r="D7" s="31">
        <f>(0+56)/120</f>
        <v>0.46666666666666667</v>
      </c>
      <c r="E7" s="31">
        <f>(9+0)/21</f>
        <v>0.42857142857142855</v>
      </c>
      <c r="F7" s="31">
        <f>(10+2)/44</f>
        <v>0.27272727272727271</v>
      </c>
      <c r="G7" s="31">
        <f>(8+2)/50</f>
        <v>0.2</v>
      </c>
      <c r="H7" s="31">
        <f>(0+26)/86</f>
        <v>0.30232558139534882</v>
      </c>
      <c r="I7" s="31">
        <f>((2+0+2+2+2)+0)/26</f>
        <v>0.30769230769230771</v>
      </c>
      <c r="J7" s="31">
        <f>((1+1+1+1+1+1+1+1+0+0+0)+0)/26</f>
        <v>0.30769230769230771</v>
      </c>
      <c r="K7" s="36">
        <v>0</v>
      </c>
      <c r="L7" s="38">
        <f t="shared" si="0"/>
        <v>2.2856755647453322</v>
      </c>
      <c r="M7" s="37" t="s">
        <v>103</v>
      </c>
    </row>
    <row r="8" spans="1:13" x14ac:dyDescent="0.25">
      <c r="A8" s="34" t="s">
        <v>134</v>
      </c>
      <c r="B8" s="29" t="s">
        <v>6</v>
      </c>
      <c r="C8" s="6">
        <v>10</v>
      </c>
      <c r="D8" s="31">
        <f>(0+(6+2+2+2+6+6+6+6+6+0))/120</f>
        <v>0.35</v>
      </c>
      <c r="E8" s="31">
        <f>(9+0)/21</f>
        <v>0.42857142857142855</v>
      </c>
      <c r="F8" s="31">
        <f>((2+2+2+2+0)+3)/44</f>
        <v>0.25</v>
      </c>
      <c r="G8" s="31">
        <f>(0+2)/50</f>
        <v>0.04</v>
      </c>
      <c r="H8" s="31">
        <f>(8+4)/86</f>
        <v>0.13953488372093023</v>
      </c>
      <c r="I8" s="31">
        <f>(10+(0+1+1+1))/26</f>
        <v>0.5</v>
      </c>
      <c r="J8" s="31">
        <f>((1+1+1+1+1+1+1+1+0+0+0)+0)/26</f>
        <v>0.30769230769230771</v>
      </c>
      <c r="K8" s="31">
        <f>(0+(6+6+0+0+0+0))/117</f>
        <v>0.10256410256410256</v>
      </c>
      <c r="L8" s="33">
        <f t="shared" si="0"/>
        <v>2.0783627225487691</v>
      </c>
      <c r="M8" s="37" t="s">
        <v>103</v>
      </c>
    </row>
    <row r="9" spans="1:13" x14ac:dyDescent="0.25">
      <c r="A9" s="28" t="s">
        <v>135</v>
      </c>
      <c r="B9" s="29">
        <v>171</v>
      </c>
      <c r="C9" s="29">
        <v>10</v>
      </c>
      <c r="D9" s="31">
        <f>((3+1+0+0+0+0+0+0+0+0+0+0)+0)/120</f>
        <v>3.3333333333333333E-2</v>
      </c>
      <c r="E9" s="31">
        <f>(9+(2+2+2+0+0+0))/21</f>
        <v>0.7142857142857143</v>
      </c>
      <c r="F9" s="31">
        <f>((2+2+2+0+0)+1)/44</f>
        <v>0.15909090909090909</v>
      </c>
      <c r="G9" s="31">
        <f>(8+0)/50</f>
        <v>0.16</v>
      </c>
      <c r="H9" s="31">
        <f>(0+12)/86</f>
        <v>0.13953488372093023</v>
      </c>
      <c r="I9" s="36">
        <v>0</v>
      </c>
      <c r="J9" s="31">
        <f>((1+1+1+1+1+1+1+1+0+0+0)+0)/26</f>
        <v>0.30769230769230771</v>
      </c>
      <c r="K9" s="31">
        <f>((3+3+3+3+3+3+0+0+0+0+0+0+0+0+0+0+0+0+0+0)+(6+6+6+6+6+0))/117</f>
        <v>0.41025641025641024</v>
      </c>
      <c r="L9" s="33">
        <f t="shared" si="0"/>
        <v>1.924193558379605</v>
      </c>
      <c r="M9" s="19" t="s">
        <v>103</v>
      </c>
    </row>
    <row r="10" spans="1:13" x14ac:dyDescent="0.25">
      <c r="A10" s="39" t="s">
        <v>136</v>
      </c>
      <c r="B10" s="29" t="s">
        <v>137</v>
      </c>
      <c r="C10" s="29">
        <v>9</v>
      </c>
      <c r="D10" s="31">
        <f>(0+52)/120</f>
        <v>0.43333333333333335</v>
      </c>
      <c r="E10" s="36">
        <v>0</v>
      </c>
      <c r="F10" s="31">
        <f>((2+2+2+0+0)+0)/44</f>
        <v>0.13636363636363635</v>
      </c>
      <c r="G10" s="31">
        <f>(0+20)/50</f>
        <v>0.4</v>
      </c>
      <c r="H10" s="31">
        <f>(0+6)/86</f>
        <v>6.9767441860465115E-2</v>
      </c>
      <c r="I10" s="36">
        <v>0</v>
      </c>
      <c r="J10" s="31">
        <f>((1+1+1+1+1+1+0+0+0+0+0)+(1+1+1+1+2+2+2+2))/26</f>
        <v>0.69230769230769229</v>
      </c>
      <c r="K10" s="36">
        <v>0</v>
      </c>
      <c r="L10" s="33">
        <f t="shared" si="0"/>
        <v>1.731772103865127</v>
      </c>
      <c r="M10" s="19" t="s">
        <v>103</v>
      </c>
    </row>
    <row r="11" spans="1:13" x14ac:dyDescent="0.25">
      <c r="A11" s="40" t="s">
        <v>138</v>
      </c>
      <c r="B11" s="29">
        <v>171</v>
      </c>
      <c r="C11" s="41">
        <v>9</v>
      </c>
      <c r="D11" s="31">
        <f>(0+6)/120</f>
        <v>0.05</v>
      </c>
      <c r="E11" s="31">
        <f>(3+0)/21</f>
        <v>0.14285714285714285</v>
      </c>
      <c r="F11" s="31">
        <f>((2+2+2+0+0)+0)/44</f>
        <v>0.13636363636363635</v>
      </c>
      <c r="G11" s="31">
        <f>(0+20)/50</f>
        <v>0.4</v>
      </c>
      <c r="H11" s="31">
        <f>(0+16)/86</f>
        <v>0.18604651162790697</v>
      </c>
      <c r="I11" s="31">
        <f>((2+2+2+0+0)+0)/26</f>
        <v>0.23076923076923078</v>
      </c>
      <c r="J11" s="31">
        <f>((1+1+1+1+1+0+1+1+0+0+0)+0)/26</f>
        <v>0.26923076923076922</v>
      </c>
      <c r="K11" s="31">
        <f>(0+(6+6+0+0+0+0))/117</f>
        <v>0.10256410256410256</v>
      </c>
      <c r="L11" s="33">
        <f t="shared" si="0"/>
        <v>1.4678313934127887</v>
      </c>
      <c r="M11" s="16" t="s">
        <v>139</v>
      </c>
    </row>
    <row r="12" spans="1:13" x14ac:dyDescent="0.25">
      <c r="A12" s="39" t="s">
        <v>140</v>
      </c>
      <c r="B12" s="29" t="s">
        <v>141</v>
      </c>
      <c r="C12" s="29">
        <v>11</v>
      </c>
      <c r="D12" s="36">
        <v>0</v>
      </c>
      <c r="E12" s="31">
        <f>(9+0)/21</f>
        <v>0.42857142857142855</v>
      </c>
      <c r="F12" s="31">
        <f>((2+2+2+0+0)+3)/44</f>
        <v>0.20454545454545456</v>
      </c>
      <c r="G12" s="31">
        <f>((0+0+2+0+0+0)+0)/50</f>
        <v>0.04</v>
      </c>
      <c r="H12" s="31">
        <f>(4+10)/86</f>
        <v>0.16279069767441862</v>
      </c>
      <c r="I12" s="31">
        <f>(0+(1+1+1+1))/26</f>
        <v>0.15384615384615385</v>
      </c>
      <c r="J12" s="31">
        <f>((1+1+1+0+1+1+0+0+0+0+0)+0)/26</f>
        <v>0.19230769230769232</v>
      </c>
      <c r="K12" s="31">
        <f>(0+(6+6+0+0+0+0))/117</f>
        <v>0.10256410256410256</v>
      </c>
      <c r="L12" s="33">
        <f t="shared" si="0"/>
        <v>1.2846255295092506</v>
      </c>
      <c r="M12" s="19" t="s">
        <v>103</v>
      </c>
    </row>
    <row r="13" spans="1:13" x14ac:dyDescent="0.25">
      <c r="A13" s="28" t="s">
        <v>142</v>
      </c>
      <c r="B13" s="29">
        <v>171</v>
      </c>
      <c r="C13" s="29">
        <v>11</v>
      </c>
      <c r="D13" s="36">
        <v>0</v>
      </c>
      <c r="E13" s="36">
        <v>0</v>
      </c>
      <c r="F13" s="31">
        <f>((2+2+2+0+0)+0)/44</f>
        <v>0.13636363636363635</v>
      </c>
      <c r="G13" s="31">
        <f>(0+2)/50</f>
        <v>0.04</v>
      </c>
      <c r="H13" s="31">
        <f>(0+2)/86</f>
        <v>2.3255813953488372E-2</v>
      </c>
      <c r="I13" s="31">
        <f>(1+0+1+1)/26</f>
        <v>0.11538461538461539</v>
      </c>
      <c r="J13" s="31">
        <f>((1+0+1+1+0+1+0+0+0+0+0)+0)/26</f>
        <v>0.15384615384615385</v>
      </c>
      <c r="K13" s="31">
        <f>(0+(6+6+0+0+0+0))/117</f>
        <v>0.10256410256410256</v>
      </c>
      <c r="L13" s="33">
        <f t="shared" si="0"/>
        <v>0.5714143221119965</v>
      </c>
      <c r="M13" s="3"/>
    </row>
    <row r="14" spans="1:13" x14ac:dyDescent="0.25">
      <c r="A14" s="28" t="s">
        <v>143</v>
      </c>
      <c r="B14" s="29">
        <v>171</v>
      </c>
      <c r="C14" s="29">
        <v>11</v>
      </c>
      <c r="D14" s="18">
        <v>0</v>
      </c>
      <c r="E14" s="36">
        <v>0</v>
      </c>
      <c r="F14" s="31">
        <f>((2+2+0+0+0)+0)/44</f>
        <v>9.0909090909090912E-2</v>
      </c>
      <c r="G14" s="36">
        <v>0</v>
      </c>
      <c r="H14" s="31">
        <f>(0+18)/86</f>
        <v>0.20930232558139536</v>
      </c>
      <c r="I14" s="36">
        <v>0</v>
      </c>
      <c r="J14" s="36">
        <v>0</v>
      </c>
      <c r="K14" s="31">
        <f>(0+(6+6+0+0+0+0))/117</f>
        <v>0.10256410256410256</v>
      </c>
      <c r="L14" s="33">
        <f t="shared" si="0"/>
        <v>0.40277551905458886</v>
      </c>
      <c r="M14" s="3"/>
    </row>
    <row r="15" spans="1:13" x14ac:dyDescent="0.25">
      <c r="A15" s="34" t="s">
        <v>144</v>
      </c>
      <c r="B15" s="29">
        <v>241</v>
      </c>
      <c r="C15" s="6">
        <v>10</v>
      </c>
      <c r="D15" s="36">
        <v>0</v>
      </c>
      <c r="E15" s="36">
        <v>0</v>
      </c>
      <c r="F15" s="31">
        <f>((2+0+2+0+0)+1)/44</f>
        <v>0.11363636363636363</v>
      </c>
      <c r="G15" s="31">
        <f>(0+2)/50</f>
        <v>0.04</v>
      </c>
      <c r="H15" s="36">
        <v>0</v>
      </c>
      <c r="I15" s="36">
        <v>0</v>
      </c>
      <c r="J15" s="36">
        <v>0</v>
      </c>
      <c r="K15" s="31">
        <f>(0+(6+6+0+0+0+0))/117</f>
        <v>0.10256410256410256</v>
      </c>
      <c r="L15" s="38">
        <f t="shared" si="0"/>
        <v>0.25620046620046621</v>
      </c>
      <c r="M15" s="19"/>
    </row>
    <row r="16" spans="1:13" x14ac:dyDescent="0.25">
      <c r="A16" s="28" t="s">
        <v>145</v>
      </c>
      <c r="B16" s="29" t="s">
        <v>146</v>
      </c>
      <c r="C16" s="29">
        <v>11</v>
      </c>
      <c r="D16" s="36">
        <v>0</v>
      </c>
      <c r="E16" s="36">
        <v>0</v>
      </c>
      <c r="F16" s="36">
        <v>0</v>
      </c>
      <c r="G16" s="31">
        <f>(0+2)/50</f>
        <v>0.04</v>
      </c>
      <c r="H16" s="36">
        <v>0</v>
      </c>
      <c r="I16" s="36">
        <v>0</v>
      </c>
      <c r="J16" s="36">
        <v>0</v>
      </c>
      <c r="K16" s="36">
        <v>0</v>
      </c>
      <c r="L16" s="33">
        <f t="shared" si="0"/>
        <v>0.04</v>
      </c>
      <c r="M16" s="3"/>
    </row>
    <row r="17" spans="1:12" x14ac:dyDescent="0.25">
      <c r="A17" s="42"/>
      <c r="D17" s="43"/>
      <c r="E17" s="44"/>
      <c r="F17" s="44"/>
      <c r="G17" s="45"/>
      <c r="H17" s="45"/>
      <c r="I17" s="45"/>
      <c r="J17" s="45"/>
      <c r="K17" s="45"/>
      <c r="L17" s="46"/>
    </row>
    <row r="18" spans="1:12" x14ac:dyDescent="0.25">
      <c r="A18" s="42"/>
      <c r="D18" s="43"/>
      <c r="E18" s="44"/>
      <c r="F18" s="44"/>
      <c r="G18" s="45"/>
      <c r="H18" s="45"/>
      <c r="I18" s="45"/>
      <c r="J18" s="45"/>
      <c r="K18" s="45"/>
      <c r="L18" s="46"/>
    </row>
    <row r="19" spans="1:12" x14ac:dyDescent="0.25">
      <c r="A19" s="21"/>
    </row>
    <row r="20" spans="1:12" x14ac:dyDescent="0.25">
      <c r="A20" s="21"/>
    </row>
    <row r="21" spans="1:12" x14ac:dyDescent="0.25">
      <c r="A21" s="21"/>
    </row>
    <row r="22" spans="1:12" x14ac:dyDescent="0.25">
      <c r="A22" s="21"/>
    </row>
    <row r="23" spans="1:12" x14ac:dyDescent="0.25">
      <c r="A23" s="21"/>
    </row>
    <row r="24" spans="1:12" x14ac:dyDescent="0.25">
      <c r="A24" s="21"/>
    </row>
    <row r="25" spans="1:12" x14ac:dyDescent="0.25">
      <c r="A25" s="21"/>
    </row>
    <row r="112" spans="1:13" x14ac:dyDescent="0.25">
      <c r="A112" s="39" t="s">
        <v>147</v>
      </c>
      <c r="B112" s="29" t="s">
        <v>141</v>
      </c>
      <c r="C112" s="29">
        <v>11</v>
      </c>
      <c r="D112" s="36">
        <v>0</v>
      </c>
      <c r="E112" s="36">
        <v>0</v>
      </c>
      <c r="F112" s="36">
        <v>0</v>
      </c>
      <c r="G112" s="31">
        <f>(30+2)/50</f>
        <v>0.64</v>
      </c>
      <c r="H112" s="31">
        <f>(8+8)/86</f>
        <v>0.18604651162790697</v>
      </c>
      <c r="I112" s="31">
        <f>((2+0+0+0+0)+0)/26</f>
        <v>7.6923076923076927E-2</v>
      </c>
      <c r="J112" s="36">
        <v>0</v>
      </c>
      <c r="K112" s="47">
        <v>0</v>
      </c>
      <c r="L112" s="33">
        <f>SUM(D112:K112,-MIN(D112:K112))</f>
        <v>0.90296958855098386</v>
      </c>
      <c r="M112" s="19"/>
    </row>
  </sheetData>
  <pageMargins left="0.75" right="0.75" top="1" bottom="1" header="0.51180555555555496" footer="0.51180555555555496"/>
  <pageSetup paperSize="9" firstPageNumber="0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12"/>
  <sheetViews>
    <sheetView zoomScaleNormal="100" workbookViewId="0">
      <selection activeCell="F10" sqref="F10"/>
    </sheetView>
  </sheetViews>
  <sheetFormatPr defaultColWidth="9.140625" defaultRowHeight="15.75" x14ac:dyDescent="0.25"/>
  <cols>
    <col min="1" max="1" width="37.85546875" style="10" customWidth="1"/>
    <col min="2" max="2" width="8.140625" style="22" customWidth="1"/>
    <col min="3" max="3" width="6.140625" style="22" customWidth="1"/>
    <col min="4" max="6" width="5.7109375" style="23" customWidth="1"/>
    <col min="7" max="11" width="5.7109375" style="11" customWidth="1"/>
    <col min="12" max="12" width="6.7109375" style="22" customWidth="1"/>
    <col min="13" max="13" width="9.140625" style="24"/>
    <col min="14" max="1024" width="9.140625" style="10"/>
  </cols>
  <sheetData>
    <row r="1" spans="1:13" s="15" customFormat="1" ht="18" customHeight="1" x14ac:dyDescent="0.25">
      <c r="A1" s="12" t="s">
        <v>119</v>
      </c>
      <c r="B1" s="12" t="s">
        <v>2</v>
      </c>
      <c r="C1" s="12" t="s">
        <v>1</v>
      </c>
      <c r="D1" s="12" t="s">
        <v>148</v>
      </c>
      <c r="E1" s="12" t="s">
        <v>149</v>
      </c>
      <c r="F1" s="12" t="s">
        <v>150</v>
      </c>
      <c r="G1" s="37" t="s">
        <v>151</v>
      </c>
      <c r="H1" s="19" t="s">
        <v>99</v>
      </c>
      <c r="I1" s="37" t="s">
        <v>152</v>
      </c>
      <c r="J1" s="48" t="s">
        <v>153</v>
      </c>
      <c r="K1" s="48" t="s">
        <v>154</v>
      </c>
      <c r="L1" s="12" t="s">
        <v>3</v>
      </c>
      <c r="M1" s="12" t="s">
        <v>4</v>
      </c>
    </row>
    <row r="2" spans="1:13" ht="15.95" customHeight="1" x14ac:dyDescent="0.25">
      <c r="A2" s="34" t="s">
        <v>129</v>
      </c>
      <c r="B2" s="29" t="s">
        <v>6</v>
      </c>
      <c r="C2" s="6">
        <v>11</v>
      </c>
      <c r="D2" s="49">
        <v>0.5</v>
      </c>
      <c r="E2" s="50">
        <v>1</v>
      </c>
      <c r="F2" s="49">
        <v>0.88888888888888895</v>
      </c>
      <c r="G2" s="49">
        <v>0.71428571428571397</v>
      </c>
      <c r="H2" s="50">
        <v>1</v>
      </c>
      <c r="I2" s="49">
        <v>0.73484848484848497</v>
      </c>
      <c r="J2" s="49">
        <v>0.77777777777777801</v>
      </c>
      <c r="K2" s="49">
        <v>0.43076923076923102</v>
      </c>
      <c r="L2" s="33">
        <f t="shared" ref="L2:L17" si="0">SUM(D2:K2,-MIN(D2:K2))</f>
        <v>5.6158008658008658</v>
      </c>
      <c r="M2" s="19" t="s">
        <v>103</v>
      </c>
    </row>
    <row r="3" spans="1:13" ht="15.75" customHeight="1" x14ac:dyDescent="0.25">
      <c r="A3" s="34" t="s">
        <v>131</v>
      </c>
      <c r="B3" s="29">
        <v>100</v>
      </c>
      <c r="C3" s="6">
        <v>11</v>
      </c>
      <c r="D3" s="49">
        <v>0.65</v>
      </c>
      <c r="E3" s="49">
        <v>0.85454545454545505</v>
      </c>
      <c r="F3" s="50">
        <v>1</v>
      </c>
      <c r="G3" s="49">
        <v>0.44642857142857101</v>
      </c>
      <c r="H3" s="49">
        <v>0.54166666666666696</v>
      </c>
      <c r="I3" s="49">
        <v>0.94696969696969702</v>
      </c>
      <c r="J3" s="49">
        <v>0.22222222222222199</v>
      </c>
      <c r="K3" s="49">
        <v>0.93846153846153801</v>
      </c>
      <c r="L3" s="38">
        <f t="shared" si="0"/>
        <v>5.378071928071928</v>
      </c>
      <c r="M3" s="19" t="s">
        <v>103</v>
      </c>
    </row>
    <row r="4" spans="1:13" ht="15.95" customHeight="1" x14ac:dyDescent="0.25">
      <c r="A4" s="28" t="s">
        <v>132</v>
      </c>
      <c r="B4" s="29">
        <v>145</v>
      </c>
      <c r="C4" s="29">
        <v>10</v>
      </c>
      <c r="D4" s="49">
        <v>0.375</v>
      </c>
      <c r="E4" s="50">
        <v>1</v>
      </c>
      <c r="F4" s="49">
        <v>0.77777777777777801</v>
      </c>
      <c r="G4" s="49">
        <v>0.85714285714285698</v>
      </c>
      <c r="H4" s="49">
        <v>0.45833333333333298</v>
      </c>
      <c r="I4" s="49">
        <v>0.35606060606060602</v>
      </c>
      <c r="J4" s="49">
        <v>0.58333333333333304</v>
      </c>
      <c r="K4" s="49">
        <v>0.5</v>
      </c>
      <c r="L4" s="33">
        <f t="shared" si="0"/>
        <v>4.5515873015873014</v>
      </c>
      <c r="M4" s="19" t="s">
        <v>103</v>
      </c>
    </row>
    <row r="5" spans="1:13" ht="15.95" customHeight="1" x14ac:dyDescent="0.25">
      <c r="A5" s="28" t="s">
        <v>155</v>
      </c>
      <c r="B5" s="29">
        <v>145</v>
      </c>
      <c r="C5" s="29">
        <v>11</v>
      </c>
      <c r="D5" s="49">
        <v>7.4999999999999997E-2</v>
      </c>
      <c r="E5" s="51">
        <v>0</v>
      </c>
      <c r="F5" s="49">
        <v>0.55555555555555602</v>
      </c>
      <c r="G5" s="49">
        <v>0.23214285714285701</v>
      </c>
      <c r="H5" s="49">
        <v>0.83333333333333304</v>
      </c>
      <c r="I5" s="49">
        <v>0.86363636363636398</v>
      </c>
      <c r="J5" s="49">
        <v>0.54054054054054101</v>
      </c>
      <c r="K5" s="49">
        <v>0.93846153846153801</v>
      </c>
      <c r="L5" s="33">
        <f t="shared" si="0"/>
        <v>4.0386701886701886</v>
      </c>
      <c r="M5" s="19" t="s">
        <v>103</v>
      </c>
    </row>
    <row r="6" spans="1:13" ht="15.95" customHeight="1" x14ac:dyDescent="0.25">
      <c r="A6" s="28" t="s">
        <v>135</v>
      </c>
      <c r="B6" s="29">
        <v>171</v>
      </c>
      <c r="C6" s="29">
        <v>11</v>
      </c>
      <c r="D6" s="49">
        <v>0.42499999999999999</v>
      </c>
      <c r="E6" s="49">
        <v>0.236363636363636</v>
      </c>
      <c r="F6" s="49">
        <v>0.77777777777777801</v>
      </c>
      <c r="G6" s="49">
        <v>0.66071428571428603</v>
      </c>
      <c r="H6" s="49">
        <v>0.58333333333333304</v>
      </c>
      <c r="I6" s="49">
        <v>0.16666666666666699</v>
      </c>
      <c r="J6" s="49">
        <v>0.52777777777777801</v>
      </c>
      <c r="K6" s="49">
        <v>0.43076923076923102</v>
      </c>
      <c r="L6" s="33">
        <f t="shared" si="0"/>
        <v>3.641736041736042</v>
      </c>
      <c r="M6" s="19" t="s">
        <v>103</v>
      </c>
    </row>
    <row r="7" spans="1:13" ht="15.95" customHeight="1" x14ac:dyDescent="0.25">
      <c r="A7" s="28" t="s">
        <v>156</v>
      </c>
      <c r="B7" s="29">
        <v>145</v>
      </c>
      <c r="C7" s="29">
        <v>11</v>
      </c>
      <c r="D7" s="49">
        <v>0.35</v>
      </c>
      <c r="E7" s="49">
        <v>0.92727272727272703</v>
      </c>
      <c r="F7" s="49">
        <v>0.77777777777777801</v>
      </c>
      <c r="G7" s="49">
        <v>0.32142857142857101</v>
      </c>
      <c r="H7" s="49">
        <v>0.29166666666666702</v>
      </c>
      <c r="I7" s="49">
        <v>0.41666666666666702</v>
      </c>
      <c r="J7" s="49">
        <v>0.30555555555555602</v>
      </c>
      <c r="K7" s="49">
        <v>0.43076923076923102</v>
      </c>
      <c r="L7" s="33">
        <f t="shared" si="0"/>
        <v>3.5294705294705304</v>
      </c>
      <c r="M7" s="19" t="s">
        <v>103</v>
      </c>
    </row>
    <row r="8" spans="1:13" ht="15.95" customHeight="1" x14ac:dyDescent="0.25">
      <c r="A8" s="39" t="s">
        <v>157</v>
      </c>
      <c r="B8" s="29" t="s">
        <v>6</v>
      </c>
      <c r="C8" s="29">
        <v>9</v>
      </c>
      <c r="D8" s="49">
        <v>0.375</v>
      </c>
      <c r="E8" s="50">
        <v>1</v>
      </c>
      <c r="F8" s="49">
        <v>0.33333333333333298</v>
      </c>
      <c r="G8" s="49">
        <v>0.125</v>
      </c>
      <c r="H8" s="49">
        <v>0.5</v>
      </c>
      <c r="I8" s="49">
        <v>6.0606060606060601E-2</v>
      </c>
      <c r="J8" s="49">
        <v>5.5555555555555601E-2</v>
      </c>
      <c r="K8" s="49">
        <v>0.93846153846153801</v>
      </c>
      <c r="L8" s="33">
        <f t="shared" si="0"/>
        <v>3.3324009324009318</v>
      </c>
      <c r="M8" s="19" t="s">
        <v>103</v>
      </c>
    </row>
    <row r="9" spans="1:13" ht="15.95" customHeight="1" x14ac:dyDescent="0.25">
      <c r="A9" s="34" t="s">
        <v>133</v>
      </c>
      <c r="B9" s="29" t="s">
        <v>6</v>
      </c>
      <c r="C9" s="6">
        <v>11</v>
      </c>
      <c r="D9" s="49">
        <v>0.32500000000000001</v>
      </c>
      <c r="E9" s="52">
        <v>0</v>
      </c>
      <c r="F9" s="49">
        <v>0.33333333333333298</v>
      </c>
      <c r="G9" s="49">
        <v>0.48214285714285698</v>
      </c>
      <c r="H9" s="49">
        <v>0.625</v>
      </c>
      <c r="I9" s="49">
        <v>0.40909090909090901</v>
      </c>
      <c r="J9" s="49">
        <v>0.86111111111111105</v>
      </c>
      <c r="K9" s="49">
        <v>0.15384615384615399</v>
      </c>
      <c r="L9" s="38">
        <f t="shared" si="0"/>
        <v>3.1895243645243645</v>
      </c>
      <c r="M9" s="19" t="s">
        <v>103</v>
      </c>
    </row>
    <row r="10" spans="1:13" ht="15.95" customHeight="1" x14ac:dyDescent="0.25">
      <c r="A10" s="28" t="s">
        <v>130</v>
      </c>
      <c r="B10" s="29">
        <v>171</v>
      </c>
      <c r="C10" s="29">
        <v>11</v>
      </c>
      <c r="D10" s="53">
        <v>0</v>
      </c>
      <c r="E10" s="53">
        <v>0</v>
      </c>
      <c r="F10" s="50">
        <v>1</v>
      </c>
      <c r="G10" s="49">
        <v>0.25</v>
      </c>
      <c r="H10" s="49">
        <v>0.33333333333333298</v>
      </c>
      <c r="I10" s="49">
        <v>0.28787878787878801</v>
      </c>
      <c r="J10" s="49">
        <v>0.55555555555555602</v>
      </c>
      <c r="K10" s="49">
        <v>0.43076923076923102</v>
      </c>
      <c r="L10" s="33">
        <f t="shared" si="0"/>
        <v>2.8575369075369084</v>
      </c>
      <c r="M10" s="19" t="s">
        <v>103</v>
      </c>
    </row>
    <row r="11" spans="1:13" ht="15.95" customHeight="1" x14ac:dyDescent="0.25">
      <c r="A11" s="39" t="s">
        <v>158</v>
      </c>
      <c r="B11" s="29" t="s">
        <v>6</v>
      </c>
      <c r="C11" s="29">
        <v>9</v>
      </c>
      <c r="D11" s="49">
        <v>0.3</v>
      </c>
      <c r="E11" s="49">
        <v>0.6</v>
      </c>
      <c r="F11" s="49">
        <v>0.33333333333333298</v>
      </c>
      <c r="G11" s="49">
        <v>0.125</v>
      </c>
      <c r="H11" s="49">
        <v>0.66666666666666696</v>
      </c>
      <c r="I11" s="49">
        <v>0.13636363636363599</v>
      </c>
      <c r="J11" s="49">
        <v>5.5555555555555601E-2</v>
      </c>
      <c r="K11" s="49">
        <v>0.43076923076923102</v>
      </c>
      <c r="L11" s="33">
        <f t="shared" si="0"/>
        <v>2.5921328671328667</v>
      </c>
      <c r="M11" s="12" t="s">
        <v>159</v>
      </c>
    </row>
    <row r="12" spans="1:13" ht="15.95" customHeight="1" x14ac:dyDescent="0.25">
      <c r="A12" s="40" t="s">
        <v>160</v>
      </c>
      <c r="B12" s="29" t="s">
        <v>6</v>
      </c>
      <c r="C12" s="41">
        <v>9</v>
      </c>
      <c r="D12" s="51">
        <v>0</v>
      </c>
      <c r="E12" s="49">
        <v>0.4</v>
      </c>
      <c r="F12" s="49">
        <v>0.66666666666666696</v>
      </c>
      <c r="G12" s="49">
        <v>1.7857142857142901E-2</v>
      </c>
      <c r="H12" s="49">
        <v>0.45833333333333298</v>
      </c>
      <c r="I12" s="49">
        <v>0.30303030303030298</v>
      </c>
      <c r="J12" s="49">
        <v>5.5555555555555601E-2</v>
      </c>
      <c r="K12" s="49">
        <v>0.4</v>
      </c>
      <c r="L12" s="33">
        <f t="shared" si="0"/>
        <v>2.3014430014430012</v>
      </c>
      <c r="M12" s="16"/>
    </row>
    <row r="13" spans="1:13" ht="15.95" customHeight="1" x14ac:dyDescent="0.25">
      <c r="A13" s="28" t="s">
        <v>161</v>
      </c>
      <c r="B13" s="29">
        <v>263</v>
      </c>
      <c r="C13" s="29">
        <v>8</v>
      </c>
      <c r="D13" s="49">
        <v>0.2</v>
      </c>
      <c r="E13" s="52">
        <v>0</v>
      </c>
      <c r="F13" s="52">
        <v>0</v>
      </c>
      <c r="G13" s="49">
        <v>0.107142857142857</v>
      </c>
      <c r="H13" s="49">
        <v>0.375</v>
      </c>
      <c r="I13" s="49">
        <v>0.24242424242424199</v>
      </c>
      <c r="J13" s="49">
        <v>0.27777777777777801</v>
      </c>
      <c r="K13" s="49">
        <v>0.43076923076923102</v>
      </c>
      <c r="L13" s="33">
        <f t="shared" si="0"/>
        <v>1.6331141081141078</v>
      </c>
      <c r="M13" s="3"/>
    </row>
    <row r="14" spans="1:13" ht="15.95" customHeight="1" x14ac:dyDescent="0.25">
      <c r="A14" s="28" t="s">
        <v>162</v>
      </c>
      <c r="B14" s="29">
        <v>157</v>
      </c>
      <c r="C14" s="29">
        <v>10</v>
      </c>
      <c r="D14" s="49">
        <v>0.125</v>
      </c>
      <c r="E14" s="53">
        <v>0</v>
      </c>
      <c r="F14" s="49">
        <v>0.88888888888888895</v>
      </c>
      <c r="G14" s="53">
        <v>0</v>
      </c>
      <c r="H14" s="52">
        <v>0</v>
      </c>
      <c r="I14" s="53">
        <v>0</v>
      </c>
      <c r="J14" s="53">
        <v>0</v>
      </c>
      <c r="K14" s="53">
        <v>0</v>
      </c>
      <c r="L14" s="33">
        <f t="shared" si="0"/>
        <v>1.0138888888888888</v>
      </c>
      <c r="M14" s="3"/>
    </row>
    <row r="15" spans="1:13" ht="15.95" customHeight="1" x14ac:dyDescent="0.25">
      <c r="A15" s="34" t="s">
        <v>144</v>
      </c>
      <c r="B15" s="29">
        <v>241</v>
      </c>
      <c r="C15" s="6">
        <v>11</v>
      </c>
      <c r="D15" s="49">
        <v>0.25</v>
      </c>
      <c r="E15" s="49">
        <v>1.8181818181818198E-2</v>
      </c>
      <c r="F15" s="49">
        <v>0.22222222222222199</v>
      </c>
      <c r="G15" s="49">
        <v>0.125</v>
      </c>
      <c r="H15" s="49">
        <v>4.1666666666666699E-2</v>
      </c>
      <c r="I15" s="49">
        <v>0.12121212121212099</v>
      </c>
      <c r="J15" s="49">
        <v>5.5555555555555601E-2</v>
      </c>
      <c r="K15" s="52">
        <v>0</v>
      </c>
      <c r="L15" s="38">
        <f t="shared" si="0"/>
        <v>0.83383838383838349</v>
      </c>
      <c r="M15" s="19"/>
    </row>
    <row r="16" spans="1:13" ht="15.95" customHeight="1" x14ac:dyDescent="0.25">
      <c r="A16" s="34" t="s">
        <v>163</v>
      </c>
      <c r="B16" s="29">
        <v>171</v>
      </c>
      <c r="C16" s="6">
        <v>10</v>
      </c>
      <c r="D16" s="53">
        <v>0</v>
      </c>
      <c r="E16" s="53">
        <v>0</v>
      </c>
      <c r="F16" s="52">
        <v>0</v>
      </c>
      <c r="G16" s="49">
        <v>0.14285714285714299</v>
      </c>
      <c r="H16" s="51">
        <v>0</v>
      </c>
      <c r="I16" s="49">
        <v>1.5151515151515201E-2</v>
      </c>
      <c r="J16" s="53">
        <v>0</v>
      </c>
      <c r="K16" s="53">
        <v>0</v>
      </c>
      <c r="L16" s="33">
        <f t="shared" si="0"/>
        <v>0.15800865800865818</v>
      </c>
      <c r="M16" s="37"/>
    </row>
    <row r="17" spans="1:13" ht="15.95" customHeight="1" x14ac:dyDescent="0.25">
      <c r="A17" s="28" t="s">
        <v>164</v>
      </c>
      <c r="B17" s="29">
        <v>145</v>
      </c>
      <c r="C17" s="29">
        <v>10</v>
      </c>
      <c r="D17" s="52">
        <v>0</v>
      </c>
      <c r="E17" s="52">
        <v>0</v>
      </c>
      <c r="F17" s="52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33">
        <f t="shared" si="0"/>
        <v>0</v>
      </c>
      <c r="M17" s="19"/>
    </row>
    <row r="18" spans="1:13" x14ac:dyDescent="0.25">
      <c r="A18" s="42"/>
      <c r="D18" s="43"/>
      <c r="E18" s="44"/>
      <c r="F18" s="44"/>
      <c r="G18" s="45"/>
      <c r="H18" s="45"/>
      <c r="I18" s="45"/>
      <c r="J18" s="45"/>
      <c r="K18" s="45"/>
      <c r="L18" s="46"/>
    </row>
    <row r="19" spans="1:13" x14ac:dyDescent="0.25">
      <c r="A19" s="21"/>
    </row>
    <row r="20" spans="1:13" x14ac:dyDescent="0.25">
      <c r="A20" s="21"/>
    </row>
    <row r="21" spans="1:13" x14ac:dyDescent="0.25">
      <c r="A21" s="21"/>
    </row>
    <row r="22" spans="1:13" x14ac:dyDescent="0.25">
      <c r="A22" s="21"/>
    </row>
    <row r="23" spans="1:13" x14ac:dyDescent="0.25">
      <c r="A23" s="21"/>
    </row>
    <row r="24" spans="1:13" x14ac:dyDescent="0.25">
      <c r="A24" s="21"/>
    </row>
    <row r="25" spans="1:13" x14ac:dyDescent="0.25">
      <c r="A25" s="21"/>
    </row>
    <row r="112" spans="1:13" x14ac:dyDescent="0.25">
      <c r="A112" s="39" t="s">
        <v>147</v>
      </c>
      <c r="B112" s="29" t="s">
        <v>141</v>
      </c>
      <c r="C112" s="29">
        <v>11</v>
      </c>
      <c r="D112" s="36">
        <v>0</v>
      </c>
      <c r="E112" s="36">
        <v>0</v>
      </c>
      <c r="F112" s="36">
        <v>0</v>
      </c>
      <c r="G112" s="31">
        <f>(30+2)/50</f>
        <v>0.64</v>
      </c>
      <c r="H112" s="31">
        <f>(8+8)/86</f>
        <v>0.18604651162790697</v>
      </c>
      <c r="I112" s="31">
        <f>((2+0+0+0+0)+0)/26</f>
        <v>7.6923076923076927E-2</v>
      </c>
      <c r="J112" s="36">
        <v>0</v>
      </c>
      <c r="K112" s="47">
        <v>0</v>
      </c>
      <c r="L112" s="33">
        <f>SUM(D112:K112,-MIN(D112:K112))</f>
        <v>0.90296958855098386</v>
      </c>
      <c r="M112" s="19"/>
    </row>
  </sheetData>
  <pageMargins left="0.75" right="0.75" top="1" bottom="1" header="0.51180555555555496" footer="0.51180555555555496"/>
  <pageSetup paperSize="9" firstPageNumber="0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10"/>
  <sheetViews>
    <sheetView zoomScaleNormal="100" workbookViewId="0">
      <selection activeCell="M20" sqref="M20"/>
    </sheetView>
  </sheetViews>
  <sheetFormatPr defaultColWidth="9.140625" defaultRowHeight="15.75" x14ac:dyDescent="0.25"/>
  <cols>
    <col min="1" max="1" width="36" style="10" customWidth="1"/>
    <col min="2" max="2" width="8.140625" style="22" customWidth="1"/>
    <col min="3" max="3" width="6.140625" style="54" customWidth="1"/>
    <col min="4" max="6" width="6.7109375" style="23" customWidth="1"/>
    <col min="7" max="11" width="6.7109375" style="11" customWidth="1"/>
    <col min="12" max="12" width="6.7109375" style="22" customWidth="1"/>
    <col min="13" max="13" width="9.140625" style="15"/>
    <col min="14" max="1024" width="9.140625" style="10"/>
  </cols>
  <sheetData>
    <row r="1" spans="1:13" s="15" customFormat="1" ht="18" customHeight="1" x14ac:dyDescent="0.25">
      <c r="A1" s="12" t="s">
        <v>119</v>
      </c>
      <c r="B1" s="12" t="s">
        <v>2</v>
      </c>
      <c r="C1" s="55" t="s">
        <v>1</v>
      </c>
      <c r="D1" s="14" t="s">
        <v>165</v>
      </c>
      <c r="E1" s="14" t="s">
        <v>166</v>
      </c>
      <c r="F1" s="25" t="s">
        <v>167</v>
      </c>
      <c r="G1" s="14" t="s">
        <v>168</v>
      </c>
      <c r="H1" s="56" t="s">
        <v>99</v>
      </c>
      <c r="I1" s="56" t="s">
        <v>169</v>
      </c>
      <c r="J1" s="56" t="s">
        <v>170</v>
      </c>
      <c r="K1" s="57" t="s">
        <v>171</v>
      </c>
      <c r="L1" s="12" t="s">
        <v>3</v>
      </c>
      <c r="M1" s="12" t="s">
        <v>4</v>
      </c>
    </row>
    <row r="2" spans="1:13" x14ac:dyDescent="0.25">
      <c r="A2" s="34" t="s">
        <v>158</v>
      </c>
      <c r="B2" s="58" t="s">
        <v>6</v>
      </c>
      <c r="C2" s="58">
        <v>10</v>
      </c>
      <c r="D2" s="38">
        <v>0.6</v>
      </c>
      <c r="E2" s="38">
        <v>0.77777777777777801</v>
      </c>
      <c r="F2" s="38">
        <v>0.56000000000000005</v>
      </c>
      <c r="G2" s="59">
        <v>0.4</v>
      </c>
      <c r="H2" s="59">
        <v>0.5</v>
      </c>
      <c r="I2" s="59">
        <v>0.30232558139534899</v>
      </c>
      <c r="J2" s="59">
        <v>0.15</v>
      </c>
      <c r="K2" s="38">
        <v>0.12</v>
      </c>
      <c r="L2" s="33">
        <f t="shared" ref="L2:L15" si="0">SUM(D2:K2,-MIN(D2:K2))</f>
        <v>3.290103359173127</v>
      </c>
      <c r="M2" s="13" t="s">
        <v>103</v>
      </c>
    </row>
    <row r="3" spans="1:13" x14ac:dyDescent="0.25">
      <c r="A3" s="34" t="s">
        <v>172</v>
      </c>
      <c r="B3" s="34" t="s">
        <v>6</v>
      </c>
      <c r="C3" s="34">
        <v>10</v>
      </c>
      <c r="D3" s="38">
        <v>0.6</v>
      </c>
      <c r="E3" s="38">
        <v>0.62222222222222201</v>
      </c>
      <c r="F3" s="38">
        <v>0.08</v>
      </c>
      <c r="G3" s="59">
        <v>0.38</v>
      </c>
      <c r="H3" s="59">
        <v>0.5</v>
      </c>
      <c r="I3" s="59">
        <v>0.39534883720930197</v>
      </c>
      <c r="J3" s="60">
        <v>0</v>
      </c>
      <c r="K3" s="38">
        <v>0.12</v>
      </c>
      <c r="L3" s="33">
        <f t="shared" si="0"/>
        <v>2.6975710594315241</v>
      </c>
      <c r="M3" s="13" t="s">
        <v>103</v>
      </c>
    </row>
    <row r="4" spans="1:13" x14ac:dyDescent="0.25">
      <c r="A4" s="28" t="s">
        <v>138</v>
      </c>
      <c r="B4" s="58">
        <v>171</v>
      </c>
      <c r="C4" s="58">
        <v>11</v>
      </c>
      <c r="D4" s="38">
        <v>0.472727272727273</v>
      </c>
      <c r="E4" s="38">
        <v>2.2222222222222199E-2</v>
      </c>
      <c r="F4" s="38">
        <v>0.36</v>
      </c>
      <c r="G4" s="59">
        <v>0.5</v>
      </c>
      <c r="H4" s="59">
        <v>0.25</v>
      </c>
      <c r="I4" s="59">
        <v>0.55813953488372103</v>
      </c>
      <c r="J4" s="59">
        <v>0.250025</v>
      </c>
      <c r="K4" s="38">
        <v>0.12</v>
      </c>
      <c r="L4" s="33">
        <f t="shared" si="0"/>
        <v>2.5108918076109941</v>
      </c>
      <c r="M4" s="13" t="s">
        <v>103</v>
      </c>
    </row>
    <row r="5" spans="1:13" x14ac:dyDescent="0.25">
      <c r="A5" s="34" t="s">
        <v>173</v>
      </c>
      <c r="B5" s="58" t="s">
        <v>6</v>
      </c>
      <c r="C5" s="58">
        <v>11</v>
      </c>
      <c r="D5" s="38">
        <v>0.2</v>
      </c>
      <c r="E5" s="61">
        <v>0</v>
      </c>
      <c r="F5" s="38">
        <v>0.68</v>
      </c>
      <c r="G5" s="59">
        <v>0.42</v>
      </c>
      <c r="H5" s="59">
        <v>0.25</v>
      </c>
      <c r="I5" s="59">
        <v>0.51162790697674398</v>
      </c>
      <c r="J5" s="59">
        <v>0.23845</v>
      </c>
      <c r="K5" s="38">
        <v>0.06</v>
      </c>
      <c r="L5" s="33">
        <f t="shared" si="0"/>
        <v>2.3600779069767439</v>
      </c>
      <c r="M5" s="13" t="s">
        <v>103</v>
      </c>
    </row>
    <row r="6" spans="1:13" x14ac:dyDescent="0.25">
      <c r="A6" s="28" t="s">
        <v>174</v>
      </c>
      <c r="B6" s="58">
        <v>171</v>
      </c>
      <c r="C6" s="58">
        <v>11</v>
      </c>
      <c r="D6" s="61">
        <v>0</v>
      </c>
      <c r="E6" s="38">
        <v>0.28888888888888897</v>
      </c>
      <c r="F6" s="38">
        <v>0.32</v>
      </c>
      <c r="G6" s="59">
        <v>0.26</v>
      </c>
      <c r="H6" s="59">
        <v>0.20833333333333301</v>
      </c>
      <c r="I6" s="59">
        <v>0.32558139534883701</v>
      </c>
      <c r="J6" s="59">
        <v>0.61922500000000003</v>
      </c>
      <c r="K6" s="38">
        <v>0.18</v>
      </c>
      <c r="L6" s="33">
        <f t="shared" si="0"/>
        <v>2.2020286175710595</v>
      </c>
      <c r="M6" s="13" t="s">
        <v>103</v>
      </c>
    </row>
    <row r="7" spans="1:13" x14ac:dyDescent="0.25">
      <c r="A7" s="34" t="s">
        <v>175</v>
      </c>
      <c r="B7" s="34" t="s">
        <v>146</v>
      </c>
      <c r="C7" s="34">
        <v>11</v>
      </c>
      <c r="D7" s="38">
        <v>0.32727272727272699</v>
      </c>
      <c r="E7" s="38">
        <v>0.122222222222222</v>
      </c>
      <c r="F7" s="38">
        <v>0.4</v>
      </c>
      <c r="G7" s="59">
        <v>0.34</v>
      </c>
      <c r="H7" s="59">
        <v>0.41666666666666702</v>
      </c>
      <c r="I7" s="59">
        <v>0.30232558139534899</v>
      </c>
      <c r="J7" s="59">
        <v>7.4999999999999997E-2</v>
      </c>
      <c r="K7" s="38">
        <v>0.04</v>
      </c>
      <c r="L7" s="33">
        <f t="shared" si="0"/>
        <v>1.9834871975569648</v>
      </c>
      <c r="M7" s="13" t="s">
        <v>103</v>
      </c>
    </row>
    <row r="8" spans="1:13" x14ac:dyDescent="0.25">
      <c r="A8" s="34" t="s">
        <v>176</v>
      </c>
      <c r="B8" s="58" t="s">
        <v>6</v>
      </c>
      <c r="C8" s="58">
        <v>9</v>
      </c>
      <c r="D8" s="38">
        <v>0.6</v>
      </c>
      <c r="E8" s="38">
        <v>0.27777777777777801</v>
      </c>
      <c r="F8" s="38">
        <v>0.04</v>
      </c>
      <c r="G8" s="59">
        <v>0.08</v>
      </c>
      <c r="H8" s="59">
        <v>0.25</v>
      </c>
      <c r="I8" s="59">
        <v>0.25581395348837199</v>
      </c>
      <c r="J8" s="59">
        <v>0.13627500000000001</v>
      </c>
      <c r="K8" s="38">
        <v>0.04</v>
      </c>
      <c r="L8" s="33">
        <f t="shared" si="0"/>
        <v>1.6398667312661499</v>
      </c>
      <c r="M8" s="13" t="s">
        <v>103</v>
      </c>
    </row>
    <row r="9" spans="1:13" x14ac:dyDescent="0.25">
      <c r="A9" s="34" t="s">
        <v>177</v>
      </c>
      <c r="B9" s="34">
        <v>178</v>
      </c>
      <c r="C9" s="34">
        <v>9</v>
      </c>
      <c r="D9" s="61">
        <v>0</v>
      </c>
      <c r="E9" s="38">
        <v>0.16666666666666699</v>
      </c>
      <c r="F9" s="61">
        <v>0</v>
      </c>
      <c r="G9" s="59">
        <v>0.26</v>
      </c>
      <c r="H9" s="59">
        <v>0.29166666666666702</v>
      </c>
      <c r="I9" s="59">
        <v>0.32558139534883701</v>
      </c>
      <c r="J9" s="59">
        <v>0.25</v>
      </c>
      <c r="K9" s="38">
        <v>0.04</v>
      </c>
      <c r="L9" s="33">
        <f t="shared" si="0"/>
        <v>1.3339147286821711</v>
      </c>
      <c r="M9" s="13" t="s">
        <v>103</v>
      </c>
    </row>
    <row r="10" spans="1:13" x14ac:dyDescent="0.25">
      <c r="A10" s="34" t="s">
        <v>178</v>
      </c>
      <c r="B10" s="58">
        <v>208</v>
      </c>
      <c r="C10" s="58">
        <v>10</v>
      </c>
      <c r="D10" s="33">
        <v>9.0909090909090898E-2</v>
      </c>
      <c r="E10" s="33">
        <v>0.28888888888888897</v>
      </c>
      <c r="F10" s="61">
        <v>0</v>
      </c>
      <c r="G10" s="62">
        <v>0.28000000000000003</v>
      </c>
      <c r="H10" s="61">
        <v>0</v>
      </c>
      <c r="I10" s="62">
        <v>0.232558139534884</v>
      </c>
      <c r="J10" s="62">
        <v>0.29615000000000002</v>
      </c>
      <c r="K10" s="63">
        <v>0.08</v>
      </c>
      <c r="L10" s="33">
        <f t="shared" si="0"/>
        <v>1.2685061193328639</v>
      </c>
      <c r="M10" s="13" t="s">
        <v>103</v>
      </c>
    </row>
    <row r="11" spans="1:13" x14ac:dyDescent="0.25">
      <c r="A11" s="34" t="s">
        <v>179</v>
      </c>
      <c r="B11" s="34">
        <v>145</v>
      </c>
      <c r="C11" s="34">
        <v>9</v>
      </c>
      <c r="D11" s="61">
        <v>0</v>
      </c>
      <c r="E11" s="61">
        <v>0</v>
      </c>
      <c r="F11" s="38">
        <v>0.04</v>
      </c>
      <c r="G11" s="59">
        <v>0.24</v>
      </c>
      <c r="H11" s="59">
        <v>0.16666666666666699</v>
      </c>
      <c r="I11" s="59">
        <v>0.27906976744186102</v>
      </c>
      <c r="J11" s="59">
        <v>0.1</v>
      </c>
      <c r="K11" s="38">
        <v>0.04</v>
      </c>
      <c r="L11" s="33">
        <f t="shared" si="0"/>
        <v>0.86573643410852796</v>
      </c>
      <c r="M11" s="29" t="s">
        <v>159</v>
      </c>
    </row>
    <row r="12" spans="1:13" x14ac:dyDescent="0.25">
      <c r="A12" s="34" t="s">
        <v>180</v>
      </c>
      <c r="B12" s="58" t="s">
        <v>137</v>
      </c>
      <c r="C12" s="58">
        <v>10</v>
      </c>
      <c r="D12" s="61">
        <v>0</v>
      </c>
      <c r="E12" s="38">
        <v>0.17777777777777801</v>
      </c>
      <c r="F12" s="61">
        <v>0</v>
      </c>
      <c r="G12" s="59">
        <v>0.4</v>
      </c>
      <c r="H12" s="61">
        <v>0</v>
      </c>
      <c r="I12" s="59">
        <v>9.3023255813953501E-2</v>
      </c>
      <c r="J12" s="61">
        <v>0</v>
      </c>
      <c r="K12" s="38">
        <v>0.04</v>
      </c>
      <c r="L12" s="33">
        <f t="shared" si="0"/>
        <v>0.71080103359173163</v>
      </c>
      <c r="M12" s="29" t="s">
        <v>159</v>
      </c>
    </row>
    <row r="13" spans="1:13" x14ac:dyDescent="0.25">
      <c r="A13" s="34" t="s">
        <v>181</v>
      </c>
      <c r="B13" s="34">
        <v>100</v>
      </c>
      <c r="C13" s="34">
        <v>10</v>
      </c>
      <c r="D13" s="38">
        <v>0.145454545454545</v>
      </c>
      <c r="E13" s="60">
        <v>0</v>
      </c>
      <c r="F13" s="60">
        <v>0</v>
      </c>
      <c r="G13" s="59">
        <v>0.42</v>
      </c>
      <c r="H13" s="60">
        <v>0</v>
      </c>
      <c r="I13" s="59">
        <v>9.3023255813953501E-2</v>
      </c>
      <c r="J13" s="61">
        <v>0</v>
      </c>
      <c r="K13" s="38">
        <v>0.04</v>
      </c>
      <c r="L13" s="33">
        <f t="shared" si="0"/>
        <v>0.69847780126849857</v>
      </c>
      <c r="M13" s="29" t="s">
        <v>159</v>
      </c>
    </row>
    <row r="14" spans="1:13" x14ac:dyDescent="0.25">
      <c r="A14" s="28" t="s">
        <v>182</v>
      </c>
      <c r="B14" s="58">
        <v>171</v>
      </c>
      <c r="C14" s="58">
        <v>10</v>
      </c>
      <c r="D14" s="61">
        <v>0</v>
      </c>
      <c r="E14" s="61">
        <v>0</v>
      </c>
      <c r="F14" s="61">
        <v>0</v>
      </c>
      <c r="G14" s="59">
        <v>0.16</v>
      </c>
      <c r="H14" s="61">
        <v>0</v>
      </c>
      <c r="I14" s="59">
        <v>2.32558139534884E-2</v>
      </c>
      <c r="J14" s="61">
        <v>0</v>
      </c>
      <c r="K14" s="38">
        <v>0.04</v>
      </c>
      <c r="L14" s="33">
        <f t="shared" si="0"/>
        <v>0.2232558139534884</v>
      </c>
      <c r="M14" s="12"/>
    </row>
    <row r="15" spans="1:13" x14ac:dyDescent="0.25">
      <c r="A15" s="28" t="s">
        <v>183</v>
      </c>
      <c r="B15" s="58">
        <v>171</v>
      </c>
      <c r="C15" s="58">
        <v>10</v>
      </c>
      <c r="D15" s="61">
        <v>0</v>
      </c>
      <c r="E15" s="61">
        <v>0</v>
      </c>
      <c r="F15" s="61">
        <v>0</v>
      </c>
      <c r="G15" s="61">
        <v>0</v>
      </c>
      <c r="H15" s="62">
        <v>8.3333333333333301E-2</v>
      </c>
      <c r="I15" s="62">
        <v>4.6511627906976799E-2</v>
      </c>
      <c r="J15" s="60">
        <v>0</v>
      </c>
      <c r="K15" s="60">
        <v>0</v>
      </c>
      <c r="L15" s="33">
        <f t="shared" si="0"/>
        <v>0.12984496124031009</v>
      </c>
      <c r="M15" s="12"/>
    </row>
    <row r="16" spans="1:13" x14ac:dyDescent="0.25">
      <c r="A16" s="64"/>
      <c r="B16" s="65"/>
      <c r="C16" s="66"/>
      <c r="D16" s="43"/>
      <c r="E16" s="44"/>
      <c r="F16" s="44"/>
      <c r="G16" s="45"/>
      <c r="H16" s="45"/>
      <c r="I16" s="45"/>
      <c r="J16" s="45"/>
      <c r="K16" s="45"/>
      <c r="L16" s="46"/>
    </row>
    <row r="17" spans="1:12" x14ac:dyDescent="0.25">
      <c r="A17" s="64"/>
      <c r="B17" s="65"/>
      <c r="C17" s="66"/>
      <c r="D17" s="43"/>
      <c r="E17" s="44"/>
      <c r="F17" s="44"/>
      <c r="G17" s="45"/>
      <c r="H17" s="45"/>
      <c r="I17" s="45"/>
      <c r="J17" s="45"/>
      <c r="K17" s="45"/>
      <c r="L17" s="46"/>
    </row>
    <row r="18" spans="1:12" x14ac:dyDescent="0.25">
      <c r="A18" s="21"/>
    </row>
    <row r="19" spans="1:12" x14ac:dyDescent="0.25">
      <c r="A19" s="21"/>
    </row>
    <row r="20" spans="1:12" x14ac:dyDescent="0.25">
      <c r="A20" s="21"/>
    </row>
    <row r="21" spans="1:12" x14ac:dyDescent="0.25">
      <c r="A21" s="21"/>
    </row>
    <row r="22" spans="1:12" x14ac:dyDescent="0.25">
      <c r="A22" s="21"/>
    </row>
    <row r="23" spans="1:12" x14ac:dyDescent="0.25">
      <c r="A23" s="21"/>
    </row>
    <row r="24" spans="1:12" x14ac:dyDescent="0.25">
      <c r="A24" s="21"/>
    </row>
    <row r="110" spans="1:13" x14ac:dyDescent="0.25">
      <c r="A110" s="39" t="s">
        <v>147</v>
      </c>
      <c r="B110" s="29" t="s">
        <v>141</v>
      </c>
      <c r="C110" s="67">
        <v>11</v>
      </c>
      <c r="D110" s="36">
        <v>0</v>
      </c>
      <c r="E110" s="36">
        <v>0</v>
      </c>
      <c r="F110" s="36">
        <v>0</v>
      </c>
      <c r="G110" s="31">
        <f>(30+2)/50</f>
        <v>0.64</v>
      </c>
      <c r="H110" s="31">
        <f>(8+8)/86</f>
        <v>0.18604651162790697</v>
      </c>
      <c r="I110" s="31">
        <f>((2+0+0+0+0)+0)/26</f>
        <v>7.6923076923076927E-2</v>
      </c>
      <c r="J110" s="36">
        <v>0</v>
      </c>
      <c r="K110" s="47">
        <v>0</v>
      </c>
      <c r="L110" s="33">
        <f>SUM(D110:K110,-MIN(D110:K110))</f>
        <v>0.90296958855098386</v>
      </c>
      <c r="M110" s="12"/>
    </row>
  </sheetData>
  <pageMargins left="0.75" right="0.75" top="1" bottom="1" header="0.51180555555555496" footer="0.51180555555555496"/>
  <pageSetup paperSize="9" firstPageNumber="0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9"/>
  <sheetViews>
    <sheetView zoomScaleNormal="100" workbookViewId="0">
      <selection activeCell="M7" sqref="M7"/>
    </sheetView>
  </sheetViews>
  <sheetFormatPr defaultColWidth="9.140625" defaultRowHeight="15.75" x14ac:dyDescent="0.25"/>
  <cols>
    <col min="1" max="1" width="34.28515625" style="10" customWidth="1"/>
    <col min="2" max="2" width="8.85546875" style="22" customWidth="1"/>
    <col min="3" max="3" width="5.7109375" style="22" customWidth="1"/>
    <col min="4" max="6" width="6.7109375" style="23" customWidth="1"/>
    <col min="7" max="11" width="6.7109375" style="11" customWidth="1"/>
    <col min="12" max="14" width="6.7109375" style="22" customWidth="1"/>
    <col min="15" max="15" width="9.140625" style="24"/>
    <col min="16" max="19" width="9.140625" style="68"/>
    <col min="20" max="1024" width="9.140625" style="10"/>
  </cols>
  <sheetData>
    <row r="1" spans="1:19" s="15" customFormat="1" ht="15.75" customHeight="1" x14ac:dyDescent="0.25">
      <c r="A1" s="12" t="s">
        <v>119</v>
      </c>
      <c r="B1" s="12" t="s">
        <v>2</v>
      </c>
      <c r="C1" s="12" t="s">
        <v>1</v>
      </c>
      <c r="D1" s="14" t="s">
        <v>184</v>
      </c>
      <c r="E1" s="14" t="s">
        <v>166</v>
      </c>
      <c r="F1" s="25" t="s">
        <v>122</v>
      </c>
      <c r="G1" s="14" t="s">
        <v>185</v>
      </c>
      <c r="H1" s="56" t="s">
        <v>124</v>
      </c>
      <c r="I1" s="56" t="s">
        <v>186</v>
      </c>
      <c r="J1" s="56" t="s">
        <v>187</v>
      </c>
      <c r="K1" s="69" t="s">
        <v>188</v>
      </c>
      <c r="L1" s="12" t="s">
        <v>3</v>
      </c>
      <c r="M1" s="12" t="s">
        <v>189</v>
      </c>
      <c r="N1" s="70" t="s">
        <v>190</v>
      </c>
      <c r="O1" s="12" t="s">
        <v>4</v>
      </c>
      <c r="P1" s="71"/>
      <c r="Q1" s="71"/>
      <c r="R1" s="71"/>
      <c r="S1" s="71"/>
    </row>
    <row r="2" spans="1:19" s="68" customFormat="1" ht="16.5" customHeight="1" x14ac:dyDescent="0.25">
      <c r="A2" s="72" t="s">
        <v>161</v>
      </c>
      <c r="B2" s="73">
        <v>145</v>
      </c>
      <c r="C2" s="74">
        <v>10</v>
      </c>
      <c r="D2" s="38">
        <v>0.6</v>
      </c>
      <c r="E2" s="38">
        <v>0.35555555555555601</v>
      </c>
      <c r="F2" s="38">
        <v>0.42</v>
      </c>
      <c r="G2" s="59">
        <v>0.64285714285714302</v>
      </c>
      <c r="H2" s="38">
        <v>0.418604651162791</v>
      </c>
      <c r="I2" s="59">
        <v>0.3</v>
      </c>
      <c r="J2" s="38">
        <v>0.72549019607843102</v>
      </c>
      <c r="K2" s="38">
        <v>0.3</v>
      </c>
      <c r="L2" s="38">
        <f t="shared" ref="L2:L25" si="0">SUM(D2:K2)-MIN(D2:K2)</f>
        <v>3.4625075456539207</v>
      </c>
      <c r="M2" s="38">
        <v>0.75</v>
      </c>
      <c r="N2" s="38">
        <f t="shared" ref="N2:N25" si="1">SUM(L2:M2)</f>
        <v>4.2125075456539207</v>
      </c>
      <c r="O2" s="75" t="s">
        <v>103</v>
      </c>
    </row>
    <row r="3" spans="1:19" s="68" customFormat="1" ht="16.5" customHeight="1" x14ac:dyDescent="0.25">
      <c r="A3" s="76" t="s">
        <v>158</v>
      </c>
      <c r="B3" s="73" t="s">
        <v>6</v>
      </c>
      <c r="C3" s="74">
        <v>11</v>
      </c>
      <c r="D3" s="38">
        <v>0.25</v>
      </c>
      <c r="E3" s="38">
        <v>0.85555555555555596</v>
      </c>
      <c r="F3" s="38">
        <v>0.42</v>
      </c>
      <c r="G3" s="59">
        <v>0.28571428571428598</v>
      </c>
      <c r="H3" s="59">
        <v>0.372093023255814</v>
      </c>
      <c r="I3" s="59">
        <v>0.3</v>
      </c>
      <c r="J3" s="59">
        <v>0.50980392156862697</v>
      </c>
      <c r="K3" s="38">
        <v>0.45</v>
      </c>
      <c r="L3" s="38">
        <f t="shared" si="0"/>
        <v>3.1931667860942832</v>
      </c>
      <c r="M3" s="38">
        <v>0.41666666666666702</v>
      </c>
      <c r="N3" s="38">
        <f t="shared" si="1"/>
        <v>3.6098334527609501</v>
      </c>
      <c r="O3" s="75" t="s">
        <v>103</v>
      </c>
    </row>
    <row r="4" spans="1:19" ht="16.5" customHeight="1" x14ac:dyDescent="0.25">
      <c r="A4" s="76" t="s">
        <v>191</v>
      </c>
      <c r="B4" s="73" t="s">
        <v>6</v>
      </c>
      <c r="C4" s="74">
        <v>11</v>
      </c>
      <c r="D4" s="38">
        <v>0.375</v>
      </c>
      <c r="E4" s="38">
        <v>0.28888888888888897</v>
      </c>
      <c r="F4" s="38">
        <v>0.86</v>
      </c>
      <c r="G4" s="59">
        <v>0.2</v>
      </c>
      <c r="H4" s="59">
        <v>0.76744186046511598</v>
      </c>
      <c r="I4" s="61">
        <v>0</v>
      </c>
      <c r="J4" s="38">
        <v>0.60784313725490202</v>
      </c>
      <c r="K4" s="38">
        <v>0.45</v>
      </c>
      <c r="L4" s="38">
        <f t="shared" si="0"/>
        <v>3.5491738866089073</v>
      </c>
      <c r="M4" s="61">
        <v>0</v>
      </c>
      <c r="N4" s="38">
        <f t="shared" si="1"/>
        <v>3.5491738866089073</v>
      </c>
      <c r="O4" s="75" t="s">
        <v>103</v>
      </c>
    </row>
    <row r="5" spans="1:19" ht="16.5" customHeight="1" x14ac:dyDescent="0.25">
      <c r="A5" s="76" t="s">
        <v>178</v>
      </c>
      <c r="B5" s="73">
        <v>208</v>
      </c>
      <c r="C5" s="74">
        <v>11</v>
      </c>
      <c r="D5" s="38">
        <v>7.4999999999999997E-2</v>
      </c>
      <c r="E5" s="38">
        <v>0.71111111111111103</v>
      </c>
      <c r="F5" s="38">
        <v>0.26</v>
      </c>
      <c r="G5" s="59">
        <v>0.25</v>
      </c>
      <c r="H5" s="59">
        <v>0.209302325581395</v>
      </c>
      <c r="I5" s="59">
        <v>0.3</v>
      </c>
      <c r="J5" s="59">
        <v>0.49019607843137297</v>
      </c>
      <c r="K5" s="38">
        <v>0.3</v>
      </c>
      <c r="L5" s="38">
        <f t="shared" si="0"/>
        <v>2.5206095151238785</v>
      </c>
      <c r="M5" s="77">
        <v>1</v>
      </c>
      <c r="N5" s="38">
        <f t="shared" si="1"/>
        <v>3.5206095151238785</v>
      </c>
      <c r="O5" s="75" t="s">
        <v>103</v>
      </c>
    </row>
    <row r="6" spans="1:19" s="68" customFormat="1" ht="16.5" customHeight="1" x14ac:dyDescent="0.25">
      <c r="A6" s="78" t="s">
        <v>177</v>
      </c>
      <c r="B6" s="79">
        <v>178</v>
      </c>
      <c r="C6" s="80">
        <v>10</v>
      </c>
      <c r="D6" s="38">
        <v>0.22500000000000001</v>
      </c>
      <c r="E6" s="38">
        <v>0.4</v>
      </c>
      <c r="F6" s="38">
        <v>0.3</v>
      </c>
      <c r="G6" s="59">
        <v>0.25</v>
      </c>
      <c r="H6" s="38">
        <v>0.53488372093023195</v>
      </c>
      <c r="I6" s="59">
        <v>0.96</v>
      </c>
      <c r="J6" s="38">
        <v>0.43137254901960798</v>
      </c>
      <c r="K6" s="38">
        <v>0.35</v>
      </c>
      <c r="L6" s="38">
        <f t="shared" si="0"/>
        <v>3.22625626994984</v>
      </c>
      <c r="M6" s="38">
        <v>0.28333333333333299</v>
      </c>
      <c r="N6" s="38">
        <f t="shared" si="1"/>
        <v>3.5095896032831728</v>
      </c>
      <c r="O6" s="81" t="s">
        <v>192</v>
      </c>
    </row>
    <row r="7" spans="1:19" s="68" customFormat="1" ht="16.5" customHeight="1" x14ac:dyDescent="0.25">
      <c r="A7" s="76" t="s">
        <v>193</v>
      </c>
      <c r="B7" s="73" t="s">
        <v>6</v>
      </c>
      <c r="C7" s="74">
        <v>10</v>
      </c>
      <c r="D7" s="38">
        <v>0.15</v>
      </c>
      <c r="E7" s="38">
        <v>0.68888888888888899</v>
      </c>
      <c r="F7" s="38">
        <v>0.36</v>
      </c>
      <c r="G7" s="59">
        <v>0.14285714285714299</v>
      </c>
      <c r="H7" s="61">
        <v>0</v>
      </c>
      <c r="I7" s="59">
        <v>0.04</v>
      </c>
      <c r="J7" s="38">
        <v>0.52941176470588203</v>
      </c>
      <c r="K7" s="38">
        <v>0.3</v>
      </c>
      <c r="L7" s="38">
        <f t="shared" si="0"/>
        <v>2.2111577964519138</v>
      </c>
      <c r="M7" s="38">
        <v>0.58333333333333304</v>
      </c>
      <c r="N7" s="38">
        <f t="shared" si="1"/>
        <v>2.7944911297852468</v>
      </c>
      <c r="O7" s="75" t="s">
        <v>103</v>
      </c>
    </row>
    <row r="8" spans="1:19" s="82" customFormat="1" ht="16.5" customHeight="1" x14ac:dyDescent="0.25">
      <c r="A8" s="72" t="s">
        <v>194</v>
      </c>
      <c r="B8" s="73" t="s">
        <v>195</v>
      </c>
      <c r="C8" s="74">
        <v>8</v>
      </c>
      <c r="D8" s="61">
        <v>0</v>
      </c>
      <c r="E8" s="38">
        <v>8.8888888888888906E-2</v>
      </c>
      <c r="F8" s="38">
        <v>0.14000000000000001</v>
      </c>
      <c r="G8" s="59">
        <v>0.25</v>
      </c>
      <c r="H8" s="38">
        <v>0.162790697674419</v>
      </c>
      <c r="I8" s="59">
        <v>0.04</v>
      </c>
      <c r="J8" s="38">
        <v>0.52941176470588203</v>
      </c>
      <c r="K8" s="38">
        <v>0.25</v>
      </c>
      <c r="L8" s="38">
        <f t="shared" si="0"/>
        <v>1.4610913512691899</v>
      </c>
      <c r="M8" s="38">
        <v>0.46666666666666701</v>
      </c>
      <c r="N8" s="38">
        <f t="shared" si="1"/>
        <v>1.9277580179358569</v>
      </c>
      <c r="O8" s="75" t="s">
        <v>103</v>
      </c>
      <c r="P8" s="68"/>
      <c r="Q8" s="68"/>
      <c r="R8" s="68"/>
      <c r="S8" s="68"/>
    </row>
    <row r="9" spans="1:19" s="68" customFormat="1" ht="16.5" customHeight="1" x14ac:dyDescent="0.25">
      <c r="A9" s="78" t="s">
        <v>172</v>
      </c>
      <c r="B9" s="79" t="s">
        <v>6</v>
      </c>
      <c r="C9" s="80">
        <v>11</v>
      </c>
      <c r="D9" s="38">
        <v>0.25</v>
      </c>
      <c r="E9" s="38">
        <v>0.93333333333333302</v>
      </c>
      <c r="F9" s="61">
        <v>0</v>
      </c>
      <c r="G9" s="59">
        <v>3.5714285714285698E-2</v>
      </c>
      <c r="H9" s="59">
        <v>0.32558139534883701</v>
      </c>
      <c r="I9" s="61">
        <v>0</v>
      </c>
      <c r="J9" s="61">
        <v>0</v>
      </c>
      <c r="K9" s="38">
        <v>0.3</v>
      </c>
      <c r="L9" s="38">
        <f t="shared" si="0"/>
        <v>1.8446290143964557</v>
      </c>
      <c r="M9" s="61">
        <v>0</v>
      </c>
      <c r="N9" s="38">
        <f t="shared" si="1"/>
        <v>1.8446290143964557</v>
      </c>
      <c r="O9" s="81" t="s">
        <v>192</v>
      </c>
    </row>
    <row r="10" spans="1:19" ht="16.5" customHeight="1" x14ac:dyDescent="0.25">
      <c r="A10" s="72" t="s">
        <v>196</v>
      </c>
      <c r="B10" s="73">
        <v>171</v>
      </c>
      <c r="C10" s="74">
        <v>9</v>
      </c>
      <c r="D10" s="61">
        <v>0</v>
      </c>
      <c r="E10" s="61">
        <v>0</v>
      </c>
      <c r="F10" s="38">
        <v>0.3</v>
      </c>
      <c r="G10" s="59">
        <v>0.17857142857142899</v>
      </c>
      <c r="H10" s="38">
        <v>2.32558139534884E-2</v>
      </c>
      <c r="I10" s="59">
        <v>0.12</v>
      </c>
      <c r="J10" s="38">
        <v>0.45098039215686297</v>
      </c>
      <c r="K10" s="38">
        <v>0.2</v>
      </c>
      <c r="L10" s="38">
        <f t="shared" si="0"/>
        <v>1.2728076346817803</v>
      </c>
      <c r="M10" s="38">
        <v>0.41666666666666702</v>
      </c>
      <c r="N10" s="38">
        <f t="shared" si="1"/>
        <v>1.6894743013484472</v>
      </c>
      <c r="O10" s="75" t="s">
        <v>103</v>
      </c>
    </row>
    <row r="11" spans="1:19" ht="16.5" customHeight="1" x14ac:dyDescent="0.25">
      <c r="A11" s="76" t="s">
        <v>197</v>
      </c>
      <c r="B11" s="73" t="s">
        <v>6</v>
      </c>
      <c r="C11" s="74">
        <v>10</v>
      </c>
      <c r="D11" s="61">
        <v>0</v>
      </c>
      <c r="E11" s="38">
        <v>8.8888888888888906E-2</v>
      </c>
      <c r="F11" s="38">
        <v>0.06</v>
      </c>
      <c r="G11" s="59">
        <v>0.25</v>
      </c>
      <c r="H11" s="38">
        <v>0.32558139534883701</v>
      </c>
      <c r="I11" s="59">
        <v>0.04</v>
      </c>
      <c r="J11" s="38">
        <v>0.43137254901960798</v>
      </c>
      <c r="K11" s="38">
        <v>0.3</v>
      </c>
      <c r="L11" s="38">
        <f t="shared" si="0"/>
        <v>1.4958428332573341</v>
      </c>
      <c r="M11" s="38">
        <v>0.133333333333333</v>
      </c>
      <c r="N11" s="38">
        <f t="shared" si="1"/>
        <v>1.6291761665906672</v>
      </c>
      <c r="O11" s="75" t="s">
        <v>103</v>
      </c>
    </row>
    <row r="12" spans="1:19" s="68" customFormat="1" ht="15.75" customHeight="1" x14ac:dyDescent="0.25">
      <c r="A12" s="83" t="s">
        <v>198</v>
      </c>
      <c r="B12" s="73">
        <v>145</v>
      </c>
      <c r="C12" s="74">
        <v>11</v>
      </c>
      <c r="D12" s="61">
        <v>0</v>
      </c>
      <c r="E12" s="61">
        <v>0</v>
      </c>
      <c r="F12" s="38">
        <v>0.08</v>
      </c>
      <c r="G12" s="59">
        <v>0.28571428571428598</v>
      </c>
      <c r="H12" s="59">
        <v>0.232558139534884</v>
      </c>
      <c r="I12" s="59">
        <v>0.04</v>
      </c>
      <c r="J12" s="59">
        <v>0.31372549019607798</v>
      </c>
      <c r="K12" s="38">
        <v>0.3</v>
      </c>
      <c r="L12" s="38">
        <f t="shared" si="0"/>
        <v>1.2519979154452481</v>
      </c>
      <c r="M12" s="38">
        <v>0.31666666666666698</v>
      </c>
      <c r="N12" s="38">
        <f t="shared" si="1"/>
        <v>1.5686645821119152</v>
      </c>
      <c r="O12" s="81" t="s">
        <v>192</v>
      </c>
    </row>
    <row r="13" spans="1:19" ht="16.5" customHeight="1" x14ac:dyDescent="0.25">
      <c r="A13" s="76" t="s">
        <v>183</v>
      </c>
      <c r="B13" s="73" t="s">
        <v>199</v>
      </c>
      <c r="C13" s="74">
        <v>11</v>
      </c>
      <c r="D13" s="61">
        <v>0</v>
      </c>
      <c r="E13" s="38">
        <v>0.35555555555555601</v>
      </c>
      <c r="F13" s="38">
        <v>0.08</v>
      </c>
      <c r="G13" s="59">
        <v>0.14285714285714299</v>
      </c>
      <c r="H13" s="38">
        <v>4.6511627906976799E-2</v>
      </c>
      <c r="I13" s="59">
        <v>0.12</v>
      </c>
      <c r="J13" s="59">
        <v>0.45098039215686297</v>
      </c>
      <c r="K13" s="61">
        <v>0</v>
      </c>
      <c r="L13" s="38">
        <f t="shared" si="0"/>
        <v>1.1959047184765388</v>
      </c>
      <c r="M13" s="38">
        <v>0.36666666666666697</v>
      </c>
      <c r="N13" s="38">
        <f t="shared" si="1"/>
        <v>1.5625713851432057</v>
      </c>
      <c r="O13" s="75" t="s">
        <v>103</v>
      </c>
    </row>
    <row r="14" spans="1:19" ht="16.5" customHeight="1" x14ac:dyDescent="0.25">
      <c r="A14" s="72" t="s">
        <v>200</v>
      </c>
      <c r="B14" s="73">
        <v>171</v>
      </c>
      <c r="C14" s="74">
        <v>9</v>
      </c>
      <c r="D14" s="61">
        <v>0</v>
      </c>
      <c r="E14" s="61">
        <v>0</v>
      </c>
      <c r="F14" s="61">
        <v>0</v>
      </c>
      <c r="G14" s="59">
        <v>0.107142857142857</v>
      </c>
      <c r="H14" s="38">
        <v>4.6511627906976799E-2</v>
      </c>
      <c r="I14" s="59">
        <v>0.3</v>
      </c>
      <c r="J14" s="38">
        <v>0.50980392156862697</v>
      </c>
      <c r="K14" s="38">
        <v>0.25</v>
      </c>
      <c r="L14" s="38">
        <f t="shared" si="0"/>
        <v>1.2134584066184608</v>
      </c>
      <c r="M14" s="38">
        <v>0.33333333333333298</v>
      </c>
      <c r="N14" s="38">
        <f t="shared" si="1"/>
        <v>1.5467917399517939</v>
      </c>
      <c r="O14" s="75" t="s">
        <v>103</v>
      </c>
    </row>
    <row r="15" spans="1:19" s="68" customFormat="1" ht="16.5" customHeight="1" x14ac:dyDescent="0.25">
      <c r="A15" s="76" t="s">
        <v>201</v>
      </c>
      <c r="B15" s="79">
        <v>178</v>
      </c>
      <c r="C15" s="80">
        <v>10</v>
      </c>
      <c r="D15" s="61">
        <v>0</v>
      </c>
      <c r="E15" s="38">
        <v>5.5555555555555601E-2</v>
      </c>
      <c r="F15" s="38">
        <v>0.16</v>
      </c>
      <c r="G15" s="59">
        <v>0.25</v>
      </c>
      <c r="H15" s="38">
        <v>0.116279069767442</v>
      </c>
      <c r="I15" s="59">
        <v>0.12</v>
      </c>
      <c r="J15" s="38">
        <v>0.15686274509803899</v>
      </c>
      <c r="K15" s="38">
        <v>0.2</v>
      </c>
      <c r="L15" s="38">
        <f t="shared" si="0"/>
        <v>1.0586973704210365</v>
      </c>
      <c r="M15" s="38">
        <v>0.233333333333333</v>
      </c>
      <c r="N15" s="38">
        <f t="shared" si="1"/>
        <v>1.2920307037543695</v>
      </c>
      <c r="O15" s="75" t="s">
        <v>103</v>
      </c>
    </row>
    <row r="16" spans="1:19" ht="16.5" customHeight="1" x14ac:dyDescent="0.25">
      <c r="A16" s="76" t="s">
        <v>202</v>
      </c>
      <c r="B16" s="73" t="s">
        <v>6</v>
      </c>
      <c r="C16" s="74">
        <v>9</v>
      </c>
      <c r="D16" s="38">
        <v>0.1125</v>
      </c>
      <c r="E16" s="38">
        <v>4.4444444444444398E-2</v>
      </c>
      <c r="F16" s="38">
        <v>0.08</v>
      </c>
      <c r="G16" s="59">
        <v>7.1428571428571397E-2</v>
      </c>
      <c r="H16" s="38">
        <v>0.116279069767442</v>
      </c>
      <c r="I16" s="59">
        <v>0.04</v>
      </c>
      <c r="J16" s="38">
        <v>0.56862745098039202</v>
      </c>
      <c r="K16" s="61">
        <v>0</v>
      </c>
      <c r="L16" s="38">
        <f t="shared" si="0"/>
        <v>1.0332795366208498</v>
      </c>
      <c r="M16" s="38">
        <v>0</v>
      </c>
      <c r="N16" s="38">
        <f t="shared" si="1"/>
        <v>1.0332795366208498</v>
      </c>
      <c r="O16" s="75" t="s">
        <v>103</v>
      </c>
    </row>
    <row r="17" spans="1:19" ht="16.5" customHeight="1" x14ac:dyDescent="0.25">
      <c r="A17" s="76" t="s">
        <v>203</v>
      </c>
      <c r="B17" s="73" t="s">
        <v>137</v>
      </c>
      <c r="C17" s="74">
        <v>11</v>
      </c>
      <c r="D17" s="61">
        <v>0</v>
      </c>
      <c r="E17" s="38">
        <v>0.28888888888888897</v>
      </c>
      <c r="F17" s="38">
        <v>0.06</v>
      </c>
      <c r="G17" s="61">
        <v>0</v>
      </c>
      <c r="H17" s="59">
        <v>9.3023255813953501E-2</v>
      </c>
      <c r="I17" s="61">
        <v>0</v>
      </c>
      <c r="J17" s="59">
        <v>0.11764705882352899</v>
      </c>
      <c r="K17" s="61">
        <v>0</v>
      </c>
      <c r="L17" s="38">
        <f t="shared" si="0"/>
        <v>0.55955920352637145</v>
      </c>
      <c r="M17" s="38">
        <v>0.33333333333333298</v>
      </c>
      <c r="N17" s="38">
        <f t="shared" si="1"/>
        <v>0.89289253685970449</v>
      </c>
      <c r="O17" s="75" t="s">
        <v>103</v>
      </c>
    </row>
    <row r="18" spans="1:19" ht="16.5" customHeight="1" x14ac:dyDescent="0.25">
      <c r="A18" s="84" t="s">
        <v>204</v>
      </c>
      <c r="B18" s="73">
        <v>145</v>
      </c>
      <c r="C18" s="74">
        <v>10</v>
      </c>
      <c r="D18" s="61">
        <v>0</v>
      </c>
      <c r="E18" s="61">
        <v>0</v>
      </c>
      <c r="F18" s="38">
        <v>0.14000000000000001</v>
      </c>
      <c r="G18" s="59">
        <v>0.107142857142857</v>
      </c>
      <c r="H18" s="61">
        <v>0</v>
      </c>
      <c r="I18" s="61">
        <v>0</v>
      </c>
      <c r="J18" s="38">
        <v>0.39215686274509798</v>
      </c>
      <c r="K18" s="61">
        <v>0</v>
      </c>
      <c r="L18" s="38">
        <f t="shared" si="0"/>
        <v>0.63929971988795498</v>
      </c>
      <c r="M18" s="38">
        <v>0.2</v>
      </c>
      <c r="N18" s="38">
        <f t="shared" si="1"/>
        <v>0.83929971988795504</v>
      </c>
      <c r="O18" s="75" t="s">
        <v>103</v>
      </c>
    </row>
    <row r="19" spans="1:19" ht="16.5" customHeight="1" x14ac:dyDescent="0.25">
      <c r="A19" s="72" t="s">
        <v>205</v>
      </c>
      <c r="B19" s="73">
        <v>145</v>
      </c>
      <c r="C19" s="74">
        <v>9</v>
      </c>
      <c r="D19" s="61">
        <v>0</v>
      </c>
      <c r="E19" s="61">
        <v>0</v>
      </c>
      <c r="F19" s="38">
        <v>0.14000000000000001</v>
      </c>
      <c r="G19" s="59">
        <v>0.214285714285714</v>
      </c>
      <c r="H19" s="38">
        <v>9.3023255813953501E-2</v>
      </c>
      <c r="I19" s="59">
        <v>0.04</v>
      </c>
      <c r="J19" s="61">
        <v>0</v>
      </c>
      <c r="K19" s="61">
        <v>0</v>
      </c>
      <c r="L19" s="38">
        <f t="shared" si="0"/>
        <v>0.48730897009966745</v>
      </c>
      <c r="M19" s="38">
        <v>0.233333333333333</v>
      </c>
      <c r="N19" s="38">
        <f t="shared" si="1"/>
        <v>0.72064230343300051</v>
      </c>
      <c r="O19" s="75" t="s">
        <v>103</v>
      </c>
    </row>
    <row r="20" spans="1:19" ht="16.5" customHeight="1" x14ac:dyDescent="0.25">
      <c r="A20" s="76" t="s">
        <v>206</v>
      </c>
      <c r="B20" s="73" t="s">
        <v>6</v>
      </c>
      <c r="C20" s="74">
        <v>10</v>
      </c>
      <c r="D20" s="61">
        <v>0</v>
      </c>
      <c r="E20" s="61">
        <v>0</v>
      </c>
      <c r="F20" s="38">
        <v>0.06</v>
      </c>
      <c r="G20" s="59">
        <v>0.214285714285714</v>
      </c>
      <c r="H20" s="38">
        <v>0.162790697674419</v>
      </c>
      <c r="I20" s="61">
        <v>0</v>
      </c>
      <c r="J20" s="38">
        <v>1.9607843137254902E-2</v>
      </c>
      <c r="K20" s="61">
        <v>0</v>
      </c>
      <c r="L20" s="38">
        <f t="shared" si="0"/>
        <v>0.45668425509738791</v>
      </c>
      <c r="M20" s="38">
        <v>8.3333333333333301E-2</v>
      </c>
      <c r="N20" s="38">
        <f t="shared" si="1"/>
        <v>0.54001758843072123</v>
      </c>
      <c r="O20" s="85"/>
    </row>
    <row r="21" spans="1:19" s="82" customFormat="1" ht="16.5" customHeight="1" x14ac:dyDescent="0.25">
      <c r="A21" s="72" t="s">
        <v>207</v>
      </c>
      <c r="B21" s="73">
        <v>171</v>
      </c>
      <c r="C21" s="74">
        <v>11</v>
      </c>
      <c r="D21" s="61">
        <v>0</v>
      </c>
      <c r="E21" s="61">
        <v>0</v>
      </c>
      <c r="F21" s="38">
        <v>0.04</v>
      </c>
      <c r="G21" s="59">
        <v>0.214285714285714</v>
      </c>
      <c r="H21" s="61">
        <v>0</v>
      </c>
      <c r="I21" s="61">
        <v>0</v>
      </c>
      <c r="J21" s="59">
        <v>0.15686274509803899</v>
      </c>
      <c r="K21" s="61">
        <v>0</v>
      </c>
      <c r="L21" s="38">
        <f t="shared" si="0"/>
        <v>0.411148459383753</v>
      </c>
      <c r="M21" s="38">
        <v>0</v>
      </c>
      <c r="N21" s="38">
        <f t="shared" si="1"/>
        <v>0.411148459383753</v>
      </c>
      <c r="O21" s="85"/>
      <c r="P21" s="68"/>
      <c r="Q21" s="68"/>
      <c r="R21" s="68"/>
      <c r="S21" s="68"/>
    </row>
    <row r="22" spans="1:19" ht="16.5" customHeight="1" x14ac:dyDescent="0.25">
      <c r="A22" s="72" t="s">
        <v>208</v>
      </c>
      <c r="B22" s="73">
        <v>178</v>
      </c>
      <c r="C22" s="74">
        <v>10</v>
      </c>
      <c r="D22" s="61">
        <v>0</v>
      </c>
      <c r="E22" s="61">
        <v>0</v>
      </c>
      <c r="F22" s="61">
        <v>0</v>
      </c>
      <c r="G22" s="61">
        <v>0</v>
      </c>
      <c r="H22" s="38">
        <v>0.116279069767442</v>
      </c>
      <c r="I22" s="61">
        <v>0</v>
      </c>
      <c r="J22" s="38">
        <v>0.15686274509803899</v>
      </c>
      <c r="K22" s="61">
        <v>0</v>
      </c>
      <c r="L22" s="38">
        <f t="shared" si="0"/>
        <v>0.273141814865481</v>
      </c>
      <c r="M22" s="61">
        <v>0</v>
      </c>
      <c r="N22" s="38">
        <f t="shared" si="1"/>
        <v>0.273141814865481</v>
      </c>
      <c r="O22" s="85"/>
    </row>
    <row r="23" spans="1:19" ht="16.5" customHeight="1" x14ac:dyDescent="0.25">
      <c r="A23" s="72" t="s">
        <v>209</v>
      </c>
      <c r="B23" s="73">
        <v>171</v>
      </c>
      <c r="C23" s="74">
        <v>9</v>
      </c>
      <c r="D23" s="38">
        <v>0.22500000000000001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38">
        <f t="shared" si="0"/>
        <v>0.22500000000000001</v>
      </c>
      <c r="M23" s="61">
        <v>0</v>
      </c>
      <c r="N23" s="38">
        <f t="shared" si="1"/>
        <v>0.22500000000000001</v>
      </c>
      <c r="O23" s="85"/>
    </row>
    <row r="24" spans="1:19" ht="16.5" customHeight="1" x14ac:dyDescent="0.25">
      <c r="A24" s="72" t="s">
        <v>182</v>
      </c>
      <c r="B24" s="73">
        <v>171</v>
      </c>
      <c r="C24" s="74">
        <v>11</v>
      </c>
      <c r="D24" s="38">
        <v>3.7499999999999999E-2</v>
      </c>
      <c r="E24" s="38">
        <v>2.2222222222222199E-2</v>
      </c>
      <c r="F24" s="38">
        <v>0.06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38">
        <f t="shared" si="0"/>
        <v>0.1197222222222222</v>
      </c>
      <c r="M24" s="61">
        <v>0</v>
      </c>
      <c r="N24" s="38">
        <f t="shared" si="1"/>
        <v>0.1197222222222222</v>
      </c>
      <c r="O24" s="16"/>
    </row>
    <row r="25" spans="1:19" s="68" customFormat="1" ht="16.5" customHeight="1" x14ac:dyDescent="0.25">
      <c r="A25" s="72" t="s">
        <v>210</v>
      </c>
      <c r="B25" s="73">
        <v>171</v>
      </c>
      <c r="C25" s="74">
        <v>10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38">
        <f t="shared" si="0"/>
        <v>0</v>
      </c>
      <c r="M25" s="61">
        <v>0</v>
      </c>
      <c r="N25" s="38">
        <f t="shared" si="1"/>
        <v>0</v>
      </c>
      <c r="O25" s="86"/>
    </row>
    <row r="26" spans="1:19" s="68" customFormat="1" ht="16.5" customHeight="1" x14ac:dyDescent="0.25">
      <c r="A26" s="76" t="s">
        <v>211</v>
      </c>
      <c r="B26" s="79">
        <v>142</v>
      </c>
      <c r="C26" s="80">
        <v>11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38"/>
      <c r="N26" s="38"/>
      <c r="O26" s="87"/>
    </row>
    <row r="27" spans="1:19" s="68" customFormat="1" ht="16.5" customHeight="1" x14ac:dyDescent="0.25">
      <c r="A27" s="72" t="s">
        <v>212</v>
      </c>
      <c r="B27" s="73">
        <v>171</v>
      </c>
      <c r="C27" s="74">
        <v>9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38">
        <f>SUM(D27:J27)</f>
        <v>0</v>
      </c>
      <c r="L27" s="38">
        <f>SUM(D27:K27)-MIN(D27:K27)</f>
        <v>0</v>
      </c>
      <c r="M27" s="38"/>
      <c r="N27" s="38"/>
      <c r="O27" s="86"/>
    </row>
    <row r="28" spans="1:19" s="68" customFormat="1" ht="16.5" customHeight="1" x14ac:dyDescent="0.25">
      <c r="A28" s="72" t="s">
        <v>213</v>
      </c>
      <c r="B28" s="73">
        <v>145</v>
      </c>
      <c r="C28" s="74">
        <v>11</v>
      </c>
      <c r="D28" s="38">
        <v>0.22500000000000001</v>
      </c>
      <c r="E28" s="38"/>
      <c r="F28" s="38"/>
      <c r="G28" s="59"/>
      <c r="H28" s="59"/>
      <c r="I28" s="59"/>
      <c r="J28" s="59"/>
      <c r="K28" s="38"/>
      <c r="L28" s="38">
        <f>SUM(D28:K28)-MIN(D28:K28)</f>
        <v>0</v>
      </c>
      <c r="M28" s="38"/>
      <c r="N28" s="38"/>
      <c r="O28" s="88"/>
    </row>
    <row r="29" spans="1:19" x14ac:dyDescent="0.25">
      <c r="O29" s="24" t="s">
        <v>118</v>
      </c>
    </row>
  </sheetData>
  <pageMargins left="0.75" right="0.75" top="1" bottom="1" header="0.51180555555555496" footer="0.51180555555555496"/>
  <pageSetup firstPageNumber="0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4"/>
  <sheetViews>
    <sheetView zoomScaleNormal="100" workbookViewId="0">
      <selection activeCell="F33" sqref="F33"/>
    </sheetView>
  </sheetViews>
  <sheetFormatPr defaultColWidth="9.140625" defaultRowHeight="15.75" x14ac:dyDescent="0.25"/>
  <cols>
    <col min="1" max="1" width="34.28515625" style="10" customWidth="1"/>
    <col min="2" max="2" width="8.85546875" style="22" customWidth="1"/>
    <col min="3" max="3" width="5.7109375" style="22" customWidth="1"/>
    <col min="4" max="6" width="6.7109375" style="23" customWidth="1"/>
    <col min="7" max="9" width="6.7109375" style="11" customWidth="1"/>
    <col min="10" max="10" width="7.28515625" style="11" customWidth="1"/>
    <col min="11" max="11" width="7.85546875" style="11" customWidth="1"/>
    <col min="12" max="15" width="6.7109375" style="22" customWidth="1"/>
    <col min="16" max="16" width="8.140625" style="24" customWidth="1"/>
    <col min="17" max="17" width="10.42578125" style="68" customWidth="1"/>
    <col min="18" max="20" width="9.140625" style="68"/>
    <col min="21" max="1024" width="9.140625" style="10"/>
  </cols>
  <sheetData>
    <row r="1" spans="1:70" s="15" customFormat="1" ht="15.75" customHeight="1" x14ac:dyDescent="0.25">
      <c r="A1" s="12" t="s">
        <v>119</v>
      </c>
      <c r="B1" s="12" t="s">
        <v>2</v>
      </c>
      <c r="C1" s="12" t="s">
        <v>1</v>
      </c>
      <c r="D1" s="14" t="s">
        <v>214</v>
      </c>
      <c r="E1" s="14" t="s">
        <v>215</v>
      </c>
      <c r="F1" s="25" t="s">
        <v>216</v>
      </c>
      <c r="G1" s="14" t="s">
        <v>217</v>
      </c>
      <c r="H1" s="56" t="s">
        <v>218</v>
      </c>
      <c r="I1" s="56" t="s">
        <v>219</v>
      </c>
      <c r="J1" s="56" t="s">
        <v>220</v>
      </c>
      <c r="K1" s="89" t="s">
        <v>221</v>
      </c>
      <c r="L1" s="12" t="s">
        <v>3</v>
      </c>
      <c r="M1" s="90" t="s">
        <v>222</v>
      </c>
      <c r="N1" s="90" t="s">
        <v>223</v>
      </c>
      <c r="O1" s="70" t="s">
        <v>190</v>
      </c>
      <c r="P1" s="12" t="s">
        <v>4</v>
      </c>
      <c r="Q1" s="12"/>
      <c r="R1" s="71"/>
      <c r="S1" s="71"/>
      <c r="T1" s="71"/>
    </row>
    <row r="2" spans="1:70" s="68" customFormat="1" ht="16.5" customHeight="1" x14ac:dyDescent="0.25">
      <c r="A2" s="76" t="s">
        <v>177</v>
      </c>
      <c r="B2" s="79">
        <v>178</v>
      </c>
      <c r="C2" s="80">
        <v>11</v>
      </c>
      <c r="D2" s="38">
        <v>0.5625</v>
      </c>
      <c r="E2" s="77">
        <v>1</v>
      </c>
      <c r="F2" s="38">
        <v>0.64</v>
      </c>
      <c r="G2" s="91">
        <v>0.47499999999999998</v>
      </c>
      <c r="H2" s="92">
        <v>0.97727272727272696</v>
      </c>
      <c r="I2" s="59">
        <v>0.58333333333333304</v>
      </c>
      <c r="J2" s="77">
        <v>1</v>
      </c>
      <c r="K2" s="77">
        <v>1</v>
      </c>
      <c r="L2" s="38">
        <f t="shared" ref="L2:L18" si="0">SUM(D2:K2)-MIN(D2:K2)</f>
        <v>5.7631060606060611</v>
      </c>
      <c r="M2" s="38"/>
      <c r="N2" s="38"/>
      <c r="O2" s="38">
        <f t="shared" ref="O2:O18" si="1">SUM(L2:N2)</f>
        <v>5.7631060606060611</v>
      </c>
      <c r="P2" s="75" t="s">
        <v>103</v>
      </c>
    </row>
    <row r="3" spans="1:70" ht="16.5" customHeight="1" x14ac:dyDescent="0.25">
      <c r="A3" s="76" t="s">
        <v>193</v>
      </c>
      <c r="B3" s="73" t="s">
        <v>6</v>
      </c>
      <c r="C3" s="74">
        <v>11</v>
      </c>
      <c r="D3" s="38">
        <v>0.42499999999999999</v>
      </c>
      <c r="E3" s="77">
        <v>1</v>
      </c>
      <c r="F3" s="38">
        <v>0.48</v>
      </c>
      <c r="G3" s="91">
        <v>0.27500000000000002</v>
      </c>
      <c r="H3" s="59">
        <v>0.310606060606061</v>
      </c>
      <c r="I3" s="38">
        <v>0.52777777777777801</v>
      </c>
      <c r="J3" s="92">
        <v>0.86111111111111105</v>
      </c>
      <c r="K3" s="92">
        <v>0.8</v>
      </c>
      <c r="L3" s="38">
        <f t="shared" si="0"/>
        <v>4.4044949494949499</v>
      </c>
      <c r="M3" s="61"/>
      <c r="N3" s="61"/>
      <c r="O3" s="38">
        <f t="shared" si="1"/>
        <v>4.4044949494949499</v>
      </c>
      <c r="P3" s="75" t="s">
        <v>103</v>
      </c>
    </row>
    <row r="4" spans="1:70" s="68" customFormat="1" ht="16.5" customHeight="1" x14ac:dyDescent="0.25">
      <c r="A4" s="72" t="s">
        <v>161</v>
      </c>
      <c r="B4" s="73">
        <v>145</v>
      </c>
      <c r="C4" s="74">
        <v>11</v>
      </c>
      <c r="D4" s="38">
        <v>0.4375</v>
      </c>
      <c r="E4" s="77">
        <v>1</v>
      </c>
      <c r="F4" s="38">
        <v>0.56000000000000005</v>
      </c>
      <c r="G4" s="59">
        <v>0.4</v>
      </c>
      <c r="H4" s="91">
        <v>0.12121212121212099</v>
      </c>
      <c r="I4" s="93">
        <v>0.75</v>
      </c>
      <c r="J4" s="93">
        <v>0.88888888888888895</v>
      </c>
      <c r="K4" s="38">
        <v>0.34</v>
      </c>
      <c r="L4" s="38">
        <f t="shared" si="0"/>
        <v>4.3763888888888891</v>
      </c>
      <c r="M4" s="38"/>
      <c r="N4" s="38"/>
      <c r="O4" s="38">
        <f t="shared" si="1"/>
        <v>4.3763888888888891</v>
      </c>
      <c r="P4" s="75" t="s">
        <v>103</v>
      </c>
    </row>
    <row r="5" spans="1:70" s="82" customFormat="1" ht="16.5" customHeight="1" x14ac:dyDescent="0.25">
      <c r="A5" s="84" t="s">
        <v>224</v>
      </c>
      <c r="B5" s="73">
        <v>171</v>
      </c>
      <c r="C5" s="74">
        <v>11</v>
      </c>
      <c r="D5" s="38">
        <v>0.4</v>
      </c>
      <c r="E5" s="77">
        <v>1</v>
      </c>
      <c r="F5" s="38">
        <v>0.4</v>
      </c>
      <c r="G5" s="91">
        <v>0.05</v>
      </c>
      <c r="H5" s="92">
        <v>0.89393939393939403</v>
      </c>
      <c r="I5" s="59">
        <v>8.3333333333333301E-2</v>
      </c>
      <c r="J5" s="38">
        <v>0.22222222222222199</v>
      </c>
      <c r="K5" s="92">
        <v>0.86</v>
      </c>
      <c r="L5" s="38">
        <f t="shared" si="0"/>
        <v>3.8594949494949495</v>
      </c>
      <c r="M5" s="92">
        <v>0.8</v>
      </c>
      <c r="N5" s="38">
        <v>0.625</v>
      </c>
      <c r="O5" s="38">
        <f t="shared" si="1"/>
        <v>5.2844949494949498</v>
      </c>
      <c r="P5" s="75" t="s">
        <v>103</v>
      </c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</row>
    <row r="6" spans="1:70" ht="16.5" customHeight="1" x14ac:dyDescent="0.25">
      <c r="A6" s="84" t="s">
        <v>225</v>
      </c>
      <c r="B6" s="73">
        <v>171</v>
      </c>
      <c r="C6" s="74">
        <v>10</v>
      </c>
      <c r="D6" s="38">
        <v>0.7</v>
      </c>
      <c r="E6" s="77">
        <v>1</v>
      </c>
      <c r="F6" s="38">
        <v>0.38</v>
      </c>
      <c r="G6" s="91">
        <v>2.5000000000000001E-2</v>
      </c>
      <c r="H6" s="38">
        <v>0.24242424242424199</v>
      </c>
      <c r="I6" s="59">
        <v>5.5555555555555601E-2</v>
      </c>
      <c r="J6" s="38">
        <v>0.25</v>
      </c>
      <c r="K6" s="77">
        <v>1</v>
      </c>
      <c r="L6" s="38">
        <f t="shared" si="0"/>
        <v>3.6279797979797976</v>
      </c>
      <c r="M6" s="38">
        <v>0.66666666666666696</v>
      </c>
      <c r="N6" s="38">
        <v>0.4</v>
      </c>
      <c r="O6" s="38">
        <f t="shared" si="1"/>
        <v>4.694646464646465</v>
      </c>
      <c r="P6" s="75" t="s">
        <v>103</v>
      </c>
    </row>
    <row r="7" spans="1:70" ht="16.5" customHeight="1" x14ac:dyDescent="0.25">
      <c r="A7" s="79" t="s">
        <v>197</v>
      </c>
      <c r="B7" s="73" t="s">
        <v>6</v>
      </c>
      <c r="C7" s="74">
        <v>11</v>
      </c>
      <c r="D7" s="38">
        <v>0.625</v>
      </c>
      <c r="E7" s="38">
        <v>0.65454545454545499</v>
      </c>
      <c r="F7" s="38">
        <v>0.32</v>
      </c>
      <c r="G7" s="59">
        <v>0.1</v>
      </c>
      <c r="H7" s="38">
        <v>0.204545454545455</v>
      </c>
      <c r="I7" s="59">
        <v>0.36111111111111099</v>
      </c>
      <c r="J7" s="38">
        <v>0.38888888888888901</v>
      </c>
      <c r="K7" s="94">
        <v>0.04</v>
      </c>
      <c r="L7" s="38">
        <f t="shared" si="0"/>
        <v>2.6540909090909102</v>
      </c>
      <c r="M7" s="38">
        <v>0.65</v>
      </c>
      <c r="N7" s="38">
        <v>0.6</v>
      </c>
      <c r="O7" s="38">
        <f t="shared" si="1"/>
        <v>3.9040909090909102</v>
      </c>
      <c r="P7" s="95" t="s">
        <v>226</v>
      </c>
    </row>
    <row r="8" spans="1:70" s="68" customFormat="1" ht="16.5" customHeight="1" x14ac:dyDescent="0.25">
      <c r="A8" s="72" t="s">
        <v>227</v>
      </c>
      <c r="B8" s="73">
        <v>171</v>
      </c>
      <c r="C8" s="74">
        <v>11</v>
      </c>
      <c r="D8" s="38">
        <v>0.55000000000000004</v>
      </c>
      <c r="E8" s="38">
        <v>0.54545454545454597</v>
      </c>
      <c r="F8" s="38">
        <v>0.32</v>
      </c>
      <c r="G8" s="59">
        <v>0.25</v>
      </c>
      <c r="H8" s="38">
        <v>0.14393939393939401</v>
      </c>
      <c r="I8" s="59">
        <v>0.22222222222222199</v>
      </c>
      <c r="J8" s="38">
        <v>0.22222222222222199</v>
      </c>
      <c r="K8" s="94">
        <v>0.08</v>
      </c>
      <c r="L8" s="38">
        <f t="shared" si="0"/>
        <v>2.2538383838383842</v>
      </c>
      <c r="M8" s="92">
        <v>0.83333333333333304</v>
      </c>
      <c r="N8" s="38">
        <v>0.72499999999999998</v>
      </c>
      <c r="O8" s="38">
        <f t="shared" si="1"/>
        <v>3.8121717171717173</v>
      </c>
      <c r="P8" s="95" t="s">
        <v>226</v>
      </c>
    </row>
    <row r="9" spans="1:70" ht="16.5" customHeight="1" x14ac:dyDescent="0.25">
      <c r="A9" s="84" t="s">
        <v>209</v>
      </c>
      <c r="B9" s="73">
        <v>171</v>
      </c>
      <c r="C9" s="74">
        <v>10</v>
      </c>
      <c r="D9" s="94">
        <v>0.1125</v>
      </c>
      <c r="E9" s="38">
        <v>0.6</v>
      </c>
      <c r="F9" s="38">
        <v>0.34</v>
      </c>
      <c r="G9" s="59">
        <v>0.17499999999999999</v>
      </c>
      <c r="H9" s="38">
        <v>0.12121212121212099</v>
      </c>
      <c r="I9" s="59">
        <v>0.27777777777777801</v>
      </c>
      <c r="J9" s="38">
        <v>0.22222222222222199</v>
      </c>
      <c r="K9" s="38">
        <v>0.16</v>
      </c>
      <c r="L9" s="38">
        <f t="shared" si="0"/>
        <v>1.8962121212121212</v>
      </c>
      <c r="M9" s="38">
        <v>0.35</v>
      </c>
      <c r="N9" s="38">
        <v>0.67500000000000004</v>
      </c>
      <c r="O9" s="38">
        <f t="shared" si="1"/>
        <v>2.9212121212121209</v>
      </c>
      <c r="P9" s="95" t="s">
        <v>226</v>
      </c>
    </row>
    <row r="10" spans="1:70" ht="16.5" customHeight="1" x14ac:dyDescent="0.25">
      <c r="A10" s="84" t="s">
        <v>194</v>
      </c>
      <c r="B10" s="73">
        <v>171</v>
      </c>
      <c r="C10" s="74">
        <v>9</v>
      </c>
      <c r="D10" s="96">
        <v>0</v>
      </c>
      <c r="E10" s="38">
        <v>0.6</v>
      </c>
      <c r="F10" s="38">
        <v>0.38</v>
      </c>
      <c r="G10" s="59">
        <v>7.4999999999999997E-2</v>
      </c>
      <c r="H10" s="38">
        <v>0.18181818181818199</v>
      </c>
      <c r="I10" s="59">
        <v>5.5555555555555601E-2</v>
      </c>
      <c r="J10" s="38">
        <v>0.13888888888888901</v>
      </c>
      <c r="K10" s="38">
        <v>0.3</v>
      </c>
      <c r="L10" s="38">
        <f t="shared" si="0"/>
        <v>1.7312626262626265</v>
      </c>
      <c r="M10" s="38">
        <v>0.51666666666666705</v>
      </c>
      <c r="N10" s="38">
        <v>0.52500000000000002</v>
      </c>
      <c r="O10" s="38">
        <f t="shared" si="1"/>
        <v>2.7729292929292932</v>
      </c>
      <c r="P10" s="75" t="s">
        <v>103</v>
      </c>
    </row>
    <row r="11" spans="1:70" ht="16.5" customHeight="1" x14ac:dyDescent="0.25">
      <c r="A11" s="76" t="s">
        <v>179</v>
      </c>
      <c r="B11" s="79">
        <v>145</v>
      </c>
      <c r="C11" s="80">
        <v>11</v>
      </c>
      <c r="D11" s="38">
        <v>0.22500000000000001</v>
      </c>
      <c r="E11" s="38">
        <v>0.2</v>
      </c>
      <c r="F11" s="38">
        <v>0.34</v>
      </c>
      <c r="G11" s="96">
        <v>0</v>
      </c>
      <c r="H11" s="59">
        <v>0.34090909090909099</v>
      </c>
      <c r="I11" s="59">
        <v>0.16666666666666699</v>
      </c>
      <c r="J11" s="59">
        <v>0.22222222222222199</v>
      </c>
      <c r="K11" s="38">
        <v>0.04</v>
      </c>
      <c r="L11" s="38">
        <f t="shared" si="0"/>
        <v>1.5347979797979803</v>
      </c>
      <c r="M11" s="38">
        <v>0.66666666666666696</v>
      </c>
      <c r="N11" s="38">
        <v>0.55000000000000004</v>
      </c>
      <c r="O11" s="38">
        <f t="shared" si="1"/>
        <v>2.7514646464646475</v>
      </c>
      <c r="P11" s="95" t="s">
        <v>226</v>
      </c>
    </row>
    <row r="12" spans="1:70" ht="16.5" customHeight="1" x14ac:dyDescent="0.25">
      <c r="A12" s="79" t="s">
        <v>202</v>
      </c>
      <c r="B12" s="73" t="s">
        <v>6</v>
      </c>
      <c r="C12" s="74">
        <v>10</v>
      </c>
      <c r="D12" s="38">
        <v>3.7499999999999999E-2</v>
      </c>
      <c r="E12" s="38">
        <v>0.218181818181818</v>
      </c>
      <c r="F12" s="38">
        <v>0.4</v>
      </c>
      <c r="G12" s="59">
        <v>0.2</v>
      </c>
      <c r="H12" s="38">
        <v>0.18181818181818199</v>
      </c>
      <c r="I12" s="59">
        <v>5.5555555555555601E-2</v>
      </c>
      <c r="J12" s="59">
        <v>0.194444444444444</v>
      </c>
      <c r="K12" s="38">
        <v>0.12</v>
      </c>
      <c r="L12" s="38">
        <f t="shared" si="0"/>
        <v>1.3699999999999997</v>
      </c>
      <c r="M12" s="97">
        <v>0.33333333333333298</v>
      </c>
      <c r="N12" s="97">
        <v>0</v>
      </c>
      <c r="O12" s="38">
        <f t="shared" si="1"/>
        <v>1.7033333333333327</v>
      </c>
      <c r="P12" s="95" t="s">
        <v>226</v>
      </c>
    </row>
    <row r="13" spans="1:70" s="68" customFormat="1" ht="16.5" customHeight="1" x14ac:dyDescent="0.25">
      <c r="A13" s="84" t="s">
        <v>204</v>
      </c>
      <c r="B13" s="73">
        <v>145</v>
      </c>
      <c r="C13" s="74">
        <v>11</v>
      </c>
      <c r="D13" s="38">
        <v>0.22500000000000001</v>
      </c>
      <c r="E13" s="38">
        <v>0.109090909090909</v>
      </c>
      <c r="F13" s="38">
        <v>0.22</v>
      </c>
      <c r="G13" s="59">
        <v>0.22500000000000001</v>
      </c>
      <c r="H13" s="59">
        <v>0.25757575757575801</v>
      </c>
      <c r="I13" s="61">
        <v>0</v>
      </c>
      <c r="J13" s="38">
        <v>0.22222222222222199</v>
      </c>
      <c r="K13" s="61">
        <v>0</v>
      </c>
      <c r="L13" s="38">
        <f t="shared" si="0"/>
        <v>1.2588888888888889</v>
      </c>
      <c r="M13" s="98"/>
      <c r="N13" s="98"/>
      <c r="O13" s="38">
        <f t="shared" si="1"/>
        <v>1.2588888888888889</v>
      </c>
      <c r="P13" s="95" t="s">
        <v>226</v>
      </c>
    </row>
    <row r="14" spans="1:70" ht="16.5" customHeight="1" x14ac:dyDescent="0.25">
      <c r="A14" s="84" t="s">
        <v>228</v>
      </c>
      <c r="B14" s="73" t="s">
        <v>6</v>
      </c>
      <c r="C14" s="74">
        <v>10</v>
      </c>
      <c r="D14" s="61">
        <v>0</v>
      </c>
      <c r="E14" s="61">
        <v>0</v>
      </c>
      <c r="F14" s="38">
        <v>0.32</v>
      </c>
      <c r="G14" s="59">
        <v>0.125</v>
      </c>
      <c r="H14" s="38">
        <v>0.12121212121212099</v>
      </c>
      <c r="I14" s="59">
        <v>5.5555555555555601E-2</v>
      </c>
      <c r="J14" s="38">
        <v>0.38888888888888901</v>
      </c>
      <c r="K14" s="38">
        <v>0.12</v>
      </c>
      <c r="L14" s="38">
        <f t="shared" si="0"/>
        <v>1.1306565656565657</v>
      </c>
      <c r="M14" s="97">
        <v>0.33333333333333298</v>
      </c>
      <c r="N14" s="97"/>
      <c r="O14" s="38">
        <f t="shared" si="1"/>
        <v>1.4639898989898987</v>
      </c>
      <c r="P14" s="95" t="s">
        <v>226</v>
      </c>
    </row>
    <row r="15" spans="1:70" s="68" customFormat="1" ht="15.75" customHeight="1" x14ac:dyDescent="0.25">
      <c r="A15" s="79" t="s">
        <v>229</v>
      </c>
      <c r="B15" s="73">
        <v>171</v>
      </c>
      <c r="C15" s="80">
        <v>10</v>
      </c>
      <c r="D15" s="61">
        <v>0</v>
      </c>
      <c r="E15" s="38">
        <v>0.25454545454545402</v>
      </c>
      <c r="F15" s="38">
        <v>0.38</v>
      </c>
      <c r="G15" s="59">
        <v>0.1</v>
      </c>
      <c r="H15" s="61">
        <v>0</v>
      </c>
      <c r="I15" s="59">
        <v>5.5555555555555601E-2</v>
      </c>
      <c r="J15" s="61">
        <v>0</v>
      </c>
      <c r="K15" s="38">
        <v>0.3</v>
      </c>
      <c r="L15" s="38">
        <f t="shared" si="0"/>
        <v>1.0901010101010096</v>
      </c>
      <c r="M15" s="97">
        <v>0.68333333333333302</v>
      </c>
      <c r="N15" s="97">
        <v>0.6</v>
      </c>
      <c r="O15" s="38">
        <f t="shared" si="1"/>
        <v>2.3734343434343428</v>
      </c>
      <c r="P15" s="95" t="s">
        <v>226</v>
      </c>
    </row>
    <row r="16" spans="1:70" s="68" customFormat="1" ht="16.5" customHeight="1" x14ac:dyDescent="0.25">
      <c r="A16" s="72" t="s">
        <v>210</v>
      </c>
      <c r="B16" s="73">
        <v>171</v>
      </c>
      <c r="C16" s="74">
        <v>11</v>
      </c>
      <c r="D16" s="61">
        <v>0</v>
      </c>
      <c r="E16" s="38">
        <v>0.6</v>
      </c>
      <c r="F16" s="38">
        <v>0.34</v>
      </c>
      <c r="G16" s="61">
        <v>0</v>
      </c>
      <c r="H16" s="99">
        <v>0</v>
      </c>
      <c r="I16" s="59">
        <v>5.5555555555555601E-2</v>
      </c>
      <c r="J16" s="99">
        <v>0</v>
      </c>
      <c r="K16" s="99">
        <v>0</v>
      </c>
      <c r="L16" s="38">
        <f t="shared" si="0"/>
        <v>0.99555555555555553</v>
      </c>
      <c r="M16" s="97"/>
      <c r="N16" s="97"/>
      <c r="O16" s="38">
        <f t="shared" si="1"/>
        <v>0.99555555555555553</v>
      </c>
      <c r="P16" s="95" t="s">
        <v>226</v>
      </c>
    </row>
    <row r="17" spans="1:16" ht="16.5" customHeight="1" x14ac:dyDescent="0.25">
      <c r="A17" s="84" t="s">
        <v>230</v>
      </c>
      <c r="B17" s="73">
        <v>171</v>
      </c>
      <c r="C17" s="74">
        <v>9</v>
      </c>
      <c r="D17" s="61">
        <v>0</v>
      </c>
      <c r="E17" s="38">
        <v>0.6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38">
        <f t="shared" si="0"/>
        <v>0.6</v>
      </c>
      <c r="M17" s="97"/>
      <c r="N17" s="97"/>
      <c r="O17" s="38">
        <f t="shared" si="1"/>
        <v>0.6</v>
      </c>
      <c r="P17" s="95" t="s">
        <v>226</v>
      </c>
    </row>
    <row r="18" spans="1:16" ht="16.5" customHeight="1" x14ac:dyDescent="0.25">
      <c r="A18" s="84" t="s">
        <v>231</v>
      </c>
      <c r="B18" s="73">
        <v>171</v>
      </c>
      <c r="C18" s="74">
        <v>10</v>
      </c>
      <c r="D18" s="61">
        <v>0</v>
      </c>
      <c r="E18" s="38">
        <v>9.0909090909090898E-2</v>
      </c>
      <c r="F18" s="61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38">
        <f t="shared" si="0"/>
        <v>9.0909090909090898E-2</v>
      </c>
      <c r="M18" s="97"/>
      <c r="N18" s="97"/>
      <c r="O18" s="38">
        <f t="shared" si="1"/>
        <v>9.0909090909090898E-2</v>
      </c>
      <c r="P18" s="95" t="s">
        <v>226</v>
      </c>
    </row>
    <row r="19" spans="1:16" ht="16.5" customHeight="1" x14ac:dyDescent="0.25">
      <c r="A19" s="100"/>
      <c r="B19" s="101"/>
      <c r="C19" s="102"/>
      <c r="D19" s="103"/>
      <c r="E19" s="103"/>
      <c r="F19" s="104"/>
      <c r="G19" s="105"/>
      <c r="H19" s="104"/>
      <c r="I19" s="103"/>
      <c r="J19" s="104"/>
      <c r="K19" s="103"/>
      <c r="L19" s="104"/>
      <c r="M19" s="104"/>
      <c r="N19" s="104"/>
      <c r="O19" s="104"/>
      <c r="P19" s="106"/>
    </row>
    <row r="20" spans="1:16" x14ac:dyDescent="0.25">
      <c r="A20" s="21" t="s">
        <v>232</v>
      </c>
      <c r="O20" s="24"/>
      <c r="P20" s="68"/>
    </row>
    <row r="21" spans="1:16" x14ac:dyDescent="0.25">
      <c r="A21" s="21" t="s">
        <v>233</v>
      </c>
      <c r="O21" s="24"/>
      <c r="P21" s="68"/>
    </row>
    <row r="22" spans="1:16" x14ac:dyDescent="0.25">
      <c r="A22" s="21" t="s">
        <v>234</v>
      </c>
      <c r="O22" s="24"/>
      <c r="P22" s="68"/>
    </row>
    <row r="23" spans="1:16" x14ac:dyDescent="0.25">
      <c r="A23" s="21" t="s">
        <v>235</v>
      </c>
      <c r="O23" s="24"/>
      <c r="P23" s="68"/>
    </row>
    <row r="24" spans="1:16" x14ac:dyDescent="0.25">
      <c r="A24" s="10" t="s">
        <v>236</v>
      </c>
      <c r="M24" s="22" t="s">
        <v>237</v>
      </c>
      <c r="O24" s="24"/>
      <c r="P24" s="68"/>
    </row>
  </sheetData>
  <printOptions horizontalCentered="1" verticalCentered="1"/>
  <pageMargins left="0.78749999999999998" right="0.78749999999999998" top="1.77152777777778" bottom="0.59027777777777801" header="0.70833333333333304" footer="0.51180555555555496"/>
  <pageSetup paperSize="9" firstPageNumber="0" orientation="landscape" horizontalDpi="300" verticalDpi="300"/>
  <headerFooter>
    <oddHeader>&amp;C&amp;"Times New Roman,Звичайний"&amp;16Результати відбірково-тренувальних зборів команди міста Києва 
до IV етапу Всеукраїнської учнівської олімпіади з інформатики 2007 року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2"/>
  <sheetViews>
    <sheetView zoomScaleNormal="100" workbookViewId="0">
      <selection activeCell="A14" sqref="A14"/>
    </sheetView>
  </sheetViews>
  <sheetFormatPr defaultColWidth="9.140625" defaultRowHeight="15.75" x14ac:dyDescent="0.25"/>
  <cols>
    <col min="1" max="1" width="35.42578125" style="10" customWidth="1"/>
    <col min="2" max="2" width="3.85546875" style="22" customWidth="1"/>
    <col min="3" max="3" width="3.42578125" style="22" customWidth="1"/>
    <col min="4" max="6" width="6.7109375" style="23" customWidth="1"/>
    <col min="7" max="9" width="6.7109375" style="11" customWidth="1"/>
    <col min="10" max="10" width="7.28515625" style="11" customWidth="1"/>
    <col min="11" max="11" width="7.85546875" style="11" customWidth="1"/>
    <col min="12" max="15" width="6.7109375" style="22" customWidth="1"/>
    <col min="16" max="16" width="9.42578125" style="24" customWidth="1"/>
    <col min="17" max="17" width="10.42578125" style="68" customWidth="1"/>
    <col min="18" max="20" width="9.140625" style="68"/>
    <col min="21" max="1024" width="9.140625" style="10"/>
  </cols>
  <sheetData>
    <row r="1" spans="1:70" s="112" customFormat="1" ht="37.5" customHeight="1" x14ac:dyDescent="0.25">
      <c r="A1" s="107" t="s">
        <v>119</v>
      </c>
      <c r="B1" s="108" t="s">
        <v>2</v>
      </c>
      <c r="C1" s="108" t="s">
        <v>1</v>
      </c>
      <c r="D1" s="109" t="s">
        <v>238</v>
      </c>
      <c r="E1" s="109" t="s">
        <v>239</v>
      </c>
      <c r="F1" s="109" t="s">
        <v>240</v>
      </c>
      <c r="G1" s="109" t="s">
        <v>241</v>
      </c>
      <c r="H1" s="110" t="s">
        <v>218</v>
      </c>
      <c r="I1" s="110" t="s">
        <v>242</v>
      </c>
      <c r="J1" s="110" t="s">
        <v>243</v>
      </c>
      <c r="K1" s="110" t="s">
        <v>244</v>
      </c>
      <c r="L1" s="107" t="s">
        <v>3</v>
      </c>
      <c r="M1" s="111" t="s">
        <v>245</v>
      </c>
      <c r="N1" s="111" t="s">
        <v>246</v>
      </c>
      <c r="O1" s="70" t="s">
        <v>190</v>
      </c>
      <c r="P1" s="107" t="s">
        <v>4</v>
      </c>
      <c r="R1" s="113"/>
      <c r="S1" s="113"/>
      <c r="T1" s="113"/>
    </row>
    <row r="2" spans="1:70" ht="16.5" customHeight="1" x14ac:dyDescent="0.25">
      <c r="A2" s="76" t="s">
        <v>247</v>
      </c>
      <c r="B2" s="73">
        <v>171</v>
      </c>
      <c r="C2" s="114">
        <v>11</v>
      </c>
      <c r="D2" s="92">
        <v>0.92727272727272703</v>
      </c>
      <c r="E2" s="92">
        <v>0.84</v>
      </c>
      <c r="F2" s="38">
        <v>0.483333333333333</v>
      </c>
      <c r="G2" s="61">
        <v>0</v>
      </c>
      <c r="H2" s="38">
        <v>0.30303030303030298</v>
      </c>
      <c r="I2" s="59">
        <v>0.16666666666666699</v>
      </c>
      <c r="J2" s="59">
        <v>0.37939285714285698</v>
      </c>
      <c r="K2" s="38">
        <v>0.43666666666666698</v>
      </c>
      <c r="L2" s="38">
        <f t="shared" ref="L2:L16" si="0">SUM(D2:K2)-MIN(D2:K2)</f>
        <v>3.5363625541125536</v>
      </c>
      <c r="M2" s="38">
        <v>0.65833333333333299</v>
      </c>
      <c r="N2" s="38">
        <v>0.33333333333333298</v>
      </c>
      <c r="O2" s="38">
        <f t="shared" ref="O2:O16" si="1">SUM(L2:N2)</f>
        <v>4.5280292207792199</v>
      </c>
      <c r="P2" s="115" t="s">
        <v>103</v>
      </c>
    </row>
    <row r="3" spans="1:70" ht="16.5" customHeight="1" x14ac:dyDescent="0.25">
      <c r="A3" s="76" t="s">
        <v>248</v>
      </c>
      <c r="B3" s="73">
        <v>171</v>
      </c>
      <c r="C3" s="114">
        <v>10</v>
      </c>
      <c r="D3" s="77">
        <v>1</v>
      </c>
      <c r="E3" s="38">
        <v>0.56000000000000005</v>
      </c>
      <c r="F3" s="92">
        <v>0.86666666666666703</v>
      </c>
      <c r="G3" s="59">
        <v>0.32142857142857101</v>
      </c>
      <c r="H3" s="38">
        <v>0.32575757575757602</v>
      </c>
      <c r="I3" s="59">
        <v>0.61111111111111105</v>
      </c>
      <c r="J3" s="38">
        <v>0.35714285714285698</v>
      </c>
      <c r="K3" s="38">
        <v>0.5</v>
      </c>
      <c r="L3" s="92">
        <f t="shared" si="0"/>
        <v>4.2206782106782113</v>
      </c>
      <c r="M3" s="61">
        <v>0</v>
      </c>
      <c r="N3" s="61">
        <v>0</v>
      </c>
      <c r="O3" s="38">
        <f t="shared" si="1"/>
        <v>4.2206782106782113</v>
      </c>
      <c r="P3" s="115" t="s">
        <v>103</v>
      </c>
    </row>
    <row r="4" spans="1:70" s="68" customFormat="1" ht="16.5" customHeight="1" x14ac:dyDescent="0.25">
      <c r="A4" s="76" t="s">
        <v>249</v>
      </c>
      <c r="B4" s="73">
        <v>171</v>
      </c>
      <c r="C4" s="114">
        <v>11</v>
      </c>
      <c r="D4" s="38">
        <v>0.67272727272727295</v>
      </c>
      <c r="E4" s="38">
        <v>0.04</v>
      </c>
      <c r="F4" s="38">
        <v>0.4</v>
      </c>
      <c r="G4" s="59">
        <v>0.107142857142857</v>
      </c>
      <c r="H4" s="59">
        <v>0.40909090909090901</v>
      </c>
      <c r="I4" s="38">
        <v>0.38888888888888901</v>
      </c>
      <c r="J4" s="38">
        <v>0.14542857142857099</v>
      </c>
      <c r="K4" s="38">
        <v>0.41</v>
      </c>
      <c r="L4" s="38">
        <f t="shared" si="0"/>
        <v>2.5332784992784991</v>
      </c>
      <c r="M4" s="38">
        <v>0.6</v>
      </c>
      <c r="N4" s="38">
        <v>0.62</v>
      </c>
      <c r="O4" s="38">
        <f t="shared" si="1"/>
        <v>3.7532784992784993</v>
      </c>
      <c r="P4" s="115" t="s">
        <v>103</v>
      </c>
    </row>
    <row r="5" spans="1:70" ht="16.5" customHeight="1" x14ac:dyDescent="0.25">
      <c r="A5" s="76" t="s">
        <v>250</v>
      </c>
      <c r="B5" s="73">
        <v>171</v>
      </c>
      <c r="C5" s="114">
        <v>11</v>
      </c>
      <c r="D5" s="92">
        <v>0.78181818181818197</v>
      </c>
      <c r="E5" s="38">
        <v>0.4</v>
      </c>
      <c r="F5" s="38">
        <v>0.1</v>
      </c>
      <c r="G5" s="59">
        <v>0.28571428571428598</v>
      </c>
      <c r="H5" s="38">
        <v>0.15151515151515199</v>
      </c>
      <c r="I5" s="59">
        <v>0.11111111111111099</v>
      </c>
      <c r="J5" s="38">
        <v>0.14285714285714299</v>
      </c>
      <c r="K5" s="38">
        <v>0.58333333333333304</v>
      </c>
      <c r="L5" s="38">
        <f t="shared" si="0"/>
        <v>2.4563492063492069</v>
      </c>
      <c r="M5" s="92">
        <v>0.83333333333333304</v>
      </c>
      <c r="N5" s="38">
        <v>0.233333333333333</v>
      </c>
      <c r="O5" s="38">
        <f t="shared" si="1"/>
        <v>3.5230158730158729</v>
      </c>
      <c r="P5" s="115" t="s">
        <v>103</v>
      </c>
    </row>
    <row r="6" spans="1:70" ht="16.5" customHeight="1" x14ac:dyDescent="0.25">
      <c r="A6" s="76" t="s">
        <v>229</v>
      </c>
      <c r="B6" s="73">
        <v>171</v>
      </c>
      <c r="C6" s="114">
        <v>11</v>
      </c>
      <c r="D6" s="38">
        <v>0.4</v>
      </c>
      <c r="E6" s="61">
        <v>0</v>
      </c>
      <c r="F6" s="38">
        <v>0.33333333333333298</v>
      </c>
      <c r="G6" s="38">
        <v>0.214285714285714</v>
      </c>
      <c r="H6" s="59">
        <v>0.32575757575757602</v>
      </c>
      <c r="I6" s="59">
        <v>0.22222222222222199</v>
      </c>
      <c r="J6" s="59">
        <v>0.18096428571428499</v>
      </c>
      <c r="K6" s="92">
        <v>0.7</v>
      </c>
      <c r="L6" s="38">
        <f t="shared" si="0"/>
        <v>2.3765631313131301</v>
      </c>
      <c r="M6" s="38">
        <v>9.1666666666666702E-2</v>
      </c>
      <c r="N6" s="38">
        <v>0.51666666666666705</v>
      </c>
      <c r="O6" s="38">
        <f t="shared" si="1"/>
        <v>2.984896464646464</v>
      </c>
      <c r="P6" s="115" t="s">
        <v>103</v>
      </c>
    </row>
    <row r="7" spans="1:70" ht="16.5" customHeight="1" x14ac:dyDescent="0.25">
      <c r="A7" s="76" t="s">
        <v>251</v>
      </c>
      <c r="B7" s="73">
        <v>171</v>
      </c>
      <c r="C7" s="114">
        <v>10</v>
      </c>
      <c r="D7" s="38">
        <v>0.32727272727272699</v>
      </c>
      <c r="E7" s="38">
        <v>0.32</v>
      </c>
      <c r="F7" s="38">
        <v>0.483333333333333</v>
      </c>
      <c r="G7" s="59">
        <v>0.25</v>
      </c>
      <c r="H7" s="38">
        <v>0.310606060606061</v>
      </c>
      <c r="I7" s="59">
        <v>8.3333333333333301E-2</v>
      </c>
      <c r="J7" s="38">
        <v>0.35714285714285698</v>
      </c>
      <c r="K7" s="38">
        <v>0.39</v>
      </c>
      <c r="L7" s="38">
        <f t="shared" si="0"/>
        <v>2.4383549783549778</v>
      </c>
      <c r="M7" s="38">
        <v>0.108333333333333</v>
      </c>
      <c r="N7" s="38">
        <v>0.133333333333333</v>
      </c>
      <c r="O7" s="38">
        <f t="shared" si="1"/>
        <v>2.6800216450216436</v>
      </c>
      <c r="P7" s="115" t="s">
        <v>103</v>
      </c>
    </row>
    <row r="8" spans="1:70" s="68" customFormat="1" ht="16.5" customHeight="1" x14ac:dyDescent="0.25">
      <c r="A8" s="76" t="s">
        <v>252</v>
      </c>
      <c r="B8" s="73">
        <v>171</v>
      </c>
      <c r="C8" s="114">
        <v>11</v>
      </c>
      <c r="D8" s="38">
        <v>0.4</v>
      </c>
      <c r="E8" s="38">
        <v>0.26</v>
      </c>
      <c r="F8" s="38">
        <v>6.6666666666666693E-2</v>
      </c>
      <c r="G8" s="38">
        <v>0.17857142857142899</v>
      </c>
      <c r="H8" s="38">
        <v>0.30303030303030298</v>
      </c>
      <c r="I8" s="59">
        <v>0.13888888888888901</v>
      </c>
      <c r="J8" s="38">
        <v>0.35714285714285698</v>
      </c>
      <c r="K8" s="38">
        <v>0.39</v>
      </c>
      <c r="L8" s="38">
        <f t="shared" si="0"/>
        <v>2.0276334776334779</v>
      </c>
      <c r="M8" s="38">
        <v>0.3</v>
      </c>
      <c r="N8" s="38">
        <v>0.33333333333333298</v>
      </c>
      <c r="O8" s="38">
        <f t="shared" si="1"/>
        <v>2.6609668109668108</v>
      </c>
      <c r="P8" s="115" t="s">
        <v>103</v>
      </c>
    </row>
    <row r="9" spans="1:70" s="82" customFormat="1" ht="16.5" customHeight="1" x14ac:dyDescent="0.25">
      <c r="A9" s="76" t="s">
        <v>253</v>
      </c>
      <c r="B9" s="73">
        <v>171</v>
      </c>
      <c r="C9" s="114">
        <v>10</v>
      </c>
      <c r="D9" s="61">
        <v>0</v>
      </c>
      <c r="E9" s="38">
        <v>0.11</v>
      </c>
      <c r="F9" s="38">
        <v>0.5</v>
      </c>
      <c r="G9" s="59">
        <v>0.214285714285714</v>
      </c>
      <c r="H9" s="38">
        <v>0.12121212121212099</v>
      </c>
      <c r="I9" s="59">
        <v>0.27777777777777801</v>
      </c>
      <c r="J9" s="38">
        <v>0.17857142857142899</v>
      </c>
      <c r="K9" s="38">
        <v>0.40666666666666701</v>
      </c>
      <c r="L9" s="38">
        <f t="shared" si="0"/>
        <v>1.8085137085137091</v>
      </c>
      <c r="M9" s="38">
        <v>0.25</v>
      </c>
      <c r="N9" s="38">
        <v>0.473333333333333</v>
      </c>
      <c r="O9" s="38">
        <f t="shared" si="1"/>
        <v>2.5318470418470422</v>
      </c>
      <c r="P9" s="115" t="s">
        <v>103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</row>
    <row r="10" spans="1:70" ht="16.5" customHeight="1" x14ac:dyDescent="0.25">
      <c r="A10" s="76" t="s">
        <v>254</v>
      </c>
      <c r="B10" s="73">
        <v>171</v>
      </c>
      <c r="C10" s="114">
        <v>10</v>
      </c>
      <c r="D10" s="38">
        <v>0.25454545454545402</v>
      </c>
      <c r="E10" s="61">
        <v>0</v>
      </c>
      <c r="F10" s="61">
        <v>0</v>
      </c>
      <c r="G10" s="59">
        <v>0.28571428571428598</v>
      </c>
      <c r="H10" s="38">
        <v>0.12121212121212099</v>
      </c>
      <c r="I10" s="59">
        <v>0.11111111111111099</v>
      </c>
      <c r="J10" s="38">
        <v>0.17857142857142899</v>
      </c>
      <c r="K10" s="38">
        <v>0.44333333333333302</v>
      </c>
      <c r="L10" s="38">
        <f t="shared" si="0"/>
        <v>1.394487734487734</v>
      </c>
      <c r="M10" s="38">
        <v>0.25833333333333303</v>
      </c>
      <c r="N10" s="38">
        <v>0.05</v>
      </c>
      <c r="O10" s="38">
        <f t="shared" si="1"/>
        <v>1.7028210678210671</v>
      </c>
      <c r="P10" s="95"/>
    </row>
    <row r="11" spans="1:70" s="68" customFormat="1" ht="16.5" customHeight="1" x14ac:dyDescent="0.25">
      <c r="A11" s="76" t="s">
        <v>255</v>
      </c>
      <c r="B11" s="73">
        <v>171</v>
      </c>
      <c r="C11" s="114">
        <v>9</v>
      </c>
      <c r="D11" s="38">
        <v>0.2</v>
      </c>
      <c r="E11" s="61">
        <v>0</v>
      </c>
      <c r="F11" s="38">
        <v>6.6666666666666693E-2</v>
      </c>
      <c r="G11" s="59">
        <v>0.214285714285714</v>
      </c>
      <c r="H11" s="59">
        <v>0.12121212121212099</v>
      </c>
      <c r="I11" s="59">
        <v>0.16666666666666699</v>
      </c>
      <c r="J11" s="38">
        <v>0.35714285714285698</v>
      </c>
      <c r="K11" s="38">
        <v>0.33333333333333298</v>
      </c>
      <c r="L11" s="38">
        <f t="shared" si="0"/>
        <v>1.4593073593073587</v>
      </c>
      <c r="M11" s="61">
        <v>0</v>
      </c>
      <c r="N11" s="38">
        <v>0.15</v>
      </c>
      <c r="O11" s="38">
        <f t="shared" si="1"/>
        <v>1.6093073593073586</v>
      </c>
      <c r="P11" s="115" t="s">
        <v>103</v>
      </c>
    </row>
    <row r="12" spans="1:70" ht="16.5" customHeight="1" x14ac:dyDescent="0.25">
      <c r="A12" s="76" t="s">
        <v>256</v>
      </c>
      <c r="B12" s="73">
        <v>171</v>
      </c>
      <c r="C12" s="114">
        <v>9</v>
      </c>
      <c r="D12" s="38">
        <v>7.2727272727272696E-2</v>
      </c>
      <c r="E12" s="38">
        <v>0.04</v>
      </c>
      <c r="F12" s="61">
        <v>0</v>
      </c>
      <c r="G12" s="59">
        <v>0.214285714285714</v>
      </c>
      <c r="H12" s="59">
        <v>0.24242424242424199</v>
      </c>
      <c r="I12" s="38">
        <v>0.22222222222222199</v>
      </c>
      <c r="J12" s="38">
        <v>7.1428571428571397E-2</v>
      </c>
      <c r="K12" s="61">
        <v>0</v>
      </c>
      <c r="L12" s="38">
        <f t="shared" si="0"/>
        <v>0.86308802308802213</v>
      </c>
      <c r="M12" s="38">
        <v>0.05</v>
      </c>
      <c r="N12" s="61">
        <v>0</v>
      </c>
      <c r="O12" s="38">
        <f t="shared" si="1"/>
        <v>0.91308802308802217</v>
      </c>
      <c r="P12" s="115" t="s">
        <v>103</v>
      </c>
    </row>
    <row r="13" spans="1:70" ht="16.5" customHeight="1" x14ac:dyDescent="0.25">
      <c r="A13" s="116" t="s">
        <v>202</v>
      </c>
      <c r="B13" s="79" t="s">
        <v>6</v>
      </c>
      <c r="C13" s="74">
        <v>11</v>
      </c>
      <c r="D13" s="61">
        <v>0</v>
      </c>
      <c r="E13" s="38">
        <v>0.05</v>
      </c>
      <c r="F13" s="38">
        <v>0.1</v>
      </c>
      <c r="G13" s="59">
        <v>0.214285714285714</v>
      </c>
      <c r="H13" s="61">
        <v>0</v>
      </c>
      <c r="I13" s="61">
        <v>0</v>
      </c>
      <c r="J13" s="61">
        <v>0</v>
      </c>
      <c r="K13" s="61">
        <v>0</v>
      </c>
      <c r="L13" s="38">
        <f t="shared" si="0"/>
        <v>0.36428571428571399</v>
      </c>
      <c r="M13" s="61">
        <v>0</v>
      </c>
      <c r="N13" s="61">
        <v>0</v>
      </c>
      <c r="O13" s="38">
        <f t="shared" si="1"/>
        <v>0.36428571428571399</v>
      </c>
      <c r="P13" s="95"/>
    </row>
    <row r="14" spans="1:70" s="68" customFormat="1" ht="16.5" customHeight="1" x14ac:dyDescent="0.25">
      <c r="A14" s="76" t="s">
        <v>257</v>
      </c>
      <c r="B14" s="73">
        <v>171</v>
      </c>
      <c r="C14" s="114">
        <v>9</v>
      </c>
      <c r="D14" s="61">
        <v>0</v>
      </c>
      <c r="E14" s="61">
        <v>0</v>
      </c>
      <c r="F14" s="59">
        <v>3.3333333333333298E-2</v>
      </c>
      <c r="G14" s="59">
        <v>0.214285714285714</v>
      </c>
      <c r="H14" s="61">
        <v>0</v>
      </c>
      <c r="I14" s="61">
        <v>0</v>
      </c>
      <c r="J14" s="61">
        <v>0</v>
      </c>
      <c r="K14" s="38">
        <v>3.6666666666666702E-2</v>
      </c>
      <c r="L14" s="38">
        <f t="shared" si="0"/>
        <v>0.28428571428571398</v>
      </c>
      <c r="M14" s="61">
        <v>0</v>
      </c>
      <c r="N14" s="38">
        <v>0.05</v>
      </c>
      <c r="O14" s="38">
        <f t="shared" si="1"/>
        <v>0.33428571428571396</v>
      </c>
      <c r="P14" s="75"/>
    </row>
    <row r="15" spans="1:70" ht="16.5" customHeight="1" x14ac:dyDescent="0.25">
      <c r="A15" s="116" t="s">
        <v>258</v>
      </c>
      <c r="B15" s="73" t="s">
        <v>6</v>
      </c>
      <c r="C15" s="74">
        <v>11</v>
      </c>
      <c r="D15" s="61">
        <v>0</v>
      </c>
      <c r="E15" s="61">
        <v>0</v>
      </c>
      <c r="F15" s="38">
        <v>6.6666666666666693E-2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38">
        <f t="shared" si="0"/>
        <v>6.6666666666666693E-2</v>
      </c>
      <c r="M15" s="117"/>
      <c r="N15" s="117"/>
      <c r="O15" s="38">
        <f t="shared" si="1"/>
        <v>6.6666666666666693E-2</v>
      </c>
      <c r="P15" s="95"/>
    </row>
    <row r="16" spans="1:70" s="68" customFormat="1" ht="16.5" customHeight="1" x14ac:dyDescent="0.25">
      <c r="A16" s="116" t="s">
        <v>259</v>
      </c>
      <c r="B16" s="73" t="s">
        <v>6</v>
      </c>
      <c r="C16" s="74">
        <v>10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38">
        <f t="shared" si="0"/>
        <v>0</v>
      </c>
      <c r="M16" s="117"/>
      <c r="N16" s="117"/>
      <c r="O16" s="38">
        <f t="shared" si="1"/>
        <v>0</v>
      </c>
      <c r="P16" s="95"/>
    </row>
    <row r="17" spans="1:16" ht="16.5" customHeight="1" x14ac:dyDescent="0.25">
      <c r="A17" s="100"/>
      <c r="B17" s="101"/>
      <c r="C17" s="102"/>
      <c r="D17" s="103"/>
      <c r="E17" s="103"/>
      <c r="F17" s="104"/>
      <c r="G17" s="105"/>
      <c r="H17" s="104"/>
      <c r="I17" s="103"/>
      <c r="J17" s="104"/>
      <c r="K17" s="103"/>
      <c r="L17" s="104"/>
      <c r="M17" s="104"/>
      <c r="N17" s="104"/>
      <c r="O17" s="104"/>
      <c r="P17" s="106"/>
    </row>
    <row r="18" spans="1:16" x14ac:dyDescent="0.25">
      <c r="A18" s="118" t="s">
        <v>232</v>
      </c>
      <c r="O18" s="24"/>
      <c r="P18" s="68"/>
    </row>
    <row r="19" spans="1:16" x14ac:dyDescent="0.25">
      <c r="A19" s="118" t="s">
        <v>233</v>
      </c>
      <c r="O19" s="24"/>
      <c r="P19" s="68"/>
    </row>
    <row r="20" spans="1:16" x14ac:dyDescent="0.25">
      <c r="A20" s="118" t="s">
        <v>260</v>
      </c>
      <c r="O20" s="24"/>
      <c r="P20" s="68"/>
    </row>
    <row r="21" spans="1:16" x14ac:dyDescent="0.25">
      <c r="A21" s="118"/>
      <c r="O21" s="24"/>
      <c r="P21" s="68"/>
    </row>
    <row r="22" spans="1:16" x14ac:dyDescent="0.25">
      <c r="A22" s="119" t="s">
        <v>236</v>
      </c>
      <c r="M22" s="120" t="s">
        <v>237</v>
      </c>
      <c r="O22" s="24"/>
      <c r="P22" s="68"/>
    </row>
  </sheetData>
  <printOptions horizontalCentered="1" verticalCentered="1"/>
  <pageMargins left="0.196527777777778" right="0.196527777777778" top="1.18055555555556" bottom="0.59027777777777801" header="0.70833333333333304" footer="0.51180555555555496"/>
  <pageSetup firstPageNumber="0" orientation="landscape" horizontalDpi="300" verticalDpi="300"/>
  <headerFooter>
    <oddHeader>&amp;C&amp;"Arial,Звичайний"&amp;16Результати відбірково-тренувальних зборів команди міста Києва 
до IV етапу Всеукраїнської учнівської олімпіади з інформатики 2008 року</oddHead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31"/>
  <sheetViews>
    <sheetView zoomScaleNormal="100" workbookViewId="0">
      <selection activeCell="A19" sqref="A19"/>
    </sheetView>
  </sheetViews>
  <sheetFormatPr defaultColWidth="9.140625" defaultRowHeight="15.75" x14ac:dyDescent="0.25"/>
  <cols>
    <col min="1" max="1" width="32.7109375" style="10" customWidth="1"/>
    <col min="2" max="2" width="3.85546875" style="22" customWidth="1"/>
    <col min="3" max="3" width="3.42578125" style="121" customWidth="1"/>
    <col min="4" max="8" width="5.7109375" style="23" customWidth="1"/>
    <col min="9" max="12" width="5.7109375" style="11" customWidth="1"/>
    <col min="13" max="13" width="6.140625" style="11" customWidth="1"/>
    <col min="14" max="17" width="5.7109375" style="22" customWidth="1"/>
    <col min="18" max="18" width="8.140625" style="24" customWidth="1"/>
    <col min="19" max="20" width="11.5703125" style="68" hidden="1" customWidth="1"/>
    <col min="21" max="23" width="3.7109375" style="10" customWidth="1"/>
    <col min="24" max="24" width="7.5703125" style="10" customWidth="1"/>
    <col min="25" max="1024" width="9.140625" style="10"/>
  </cols>
  <sheetData>
    <row r="1" spans="1:70" s="112" customFormat="1" ht="37.5" customHeight="1" x14ac:dyDescent="0.25">
      <c r="A1" s="107" t="s">
        <v>119</v>
      </c>
      <c r="B1" s="108" t="s">
        <v>2</v>
      </c>
      <c r="C1" s="122" t="s">
        <v>1</v>
      </c>
      <c r="D1" s="123" t="s">
        <v>261</v>
      </c>
      <c r="E1" s="123" t="s">
        <v>262</v>
      </c>
      <c r="F1" s="123" t="s">
        <v>263</v>
      </c>
      <c r="G1" s="123" t="s">
        <v>264</v>
      </c>
      <c r="H1" s="123" t="s">
        <v>265</v>
      </c>
      <c r="I1" s="123" t="s">
        <v>266</v>
      </c>
      <c r="J1" s="124" t="s">
        <v>267</v>
      </c>
      <c r="K1" s="124" t="s">
        <v>268</v>
      </c>
      <c r="L1" s="124" t="s">
        <v>269</v>
      </c>
      <c r="M1" s="124" t="s">
        <v>270</v>
      </c>
      <c r="N1" s="107" t="s">
        <v>3</v>
      </c>
      <c r="O1" s="111" t="s">
        <v>271</v>
      </c>
      <c r="P1" s="111" t="s">
        <v>272</v>
      </c>
      <c r="Q1" s="70" t="s">
        <v>190</v>
      </c>
      <c r="R1" s="107" t="s">
        <v>4</v>
      </c>
      <c r="S1" s="112" t="s">
        <v>273</v>
      </c>
      <c r="T1" s="113" t="s">
        <v>274</v>
      </c>
      <c r="U1" s="107" t="s">
        <v>275</v>
      </c>
      <c r="V1" s="107" t="s">
        <v>276</v>
      </c>
      <c r="W1" s="70" t="s">
        <v>190</v>
      </c>
      <c r="X1" s="107" t="s">
        <v>277</v>
      </c>
    </row>
    <row r="2" spans="1:70" ht="15.75" customHeight="1" x14ac:dyDescent="0.25">
      <c r="A2" s="79" t="s">
        <v>248</v>
      </c>
      <c r="B2" s="73">
        <v>171</v>
      </c>
      <c r="C2" s="80">
        <v>11</v>
      </c>
      <c r="D2" s="125">
        <v>0.95833333333333304</v>
      </c>
      <c r="E2" s="126">
        <v>1</v>
      </c>
      <c r="F2" s="125">
        <v>0.9</v>
      </c>
      <c r="G2" s="127">
        <v>0.26785714285714302</v>
      </c>
      <c r="H2" s="125">
        <v>0.85606060606060597</v>
      </c>
      <c r="I2" s="127">
        <v>0.52777777777777801</v>
      </c>
      <c r="J2" s="128">
        <v>0.12</v>
      </c>
      <c r="K2" s="127">
        <v>0.5</v>
      </c>
      <c r="L2" s="129">
        <v>1</v>
      </c>
      <c r="M2" s="38">
        <v>0.67666666666666697</v>
      </c>
      <c r="N2" s="130">
        <f t="shared" ref="N2:N25" si="0">SUM(D2:M2)-MIN(D2:M2)</f>
        <v>6.6866955266955266</v>
      </c>
      <c r="O2" s="131"/>
      <c r="P2" s="131"/>
      <c r="Q2" s="130">
        <f t="shared" ref="Q2:Q25" si="1">SUM(N2:P2)</f>
        <v>6.6866955266955266</v>
      </c>
      <c r="R2" s="132" t="s">
        <v>103</v>
      </c>
      <c r="U2" s="133">
        <v>300</v>
      </c>
      <c r="V2" s="133">
        <v>300</v>
      </c>
      <c r="W2" s="133">
        <f t="shared" ref="W2:W9" si="2">SUM(U2:V2)</f>
        <v>600</v>
      </c>
      <c r="X2" s="133">
        <v>1</v>
      </c>
    </row>
    <row r="3" spans="1:70" ht="15.75" customHeight="1" x14ac:dyDescent="0.25">
      <c r="A3" s="79" t="s">
        <v>251</v>
      </c>
      <c r="B3" s="73">
        <v>171</v>
      </c>
      <c r="C3" s="80">
        <v>11</v>
      </c>
      <c r="D3" s="125">
        <v>0.96666666666666701</v>
      </c>
      <c r="E3" s="126">
        <v>1</v>
      </c>
      <c r="F3" s="127">
        <v>0.375</v>
      </c>
      <c r="G3" s="125">
        <v>0.83928571428571397</v>
      </c>
      <c r="H3" s="127">
        <v>0.74242424242424199</v>
      </c>
      <c r="I3" s="127">
        <v>0.52777777777777801</v>
      </c>
      <c r="J3" s="128">
        <v>0.04</v>
      </c>
      <c r="K3" s="125">
        <v>0.92424242424242398</v>
      </c>
      <c r="L3" s="134">
        <v>0</v>
      </c>
      <c r="M3" s="134">
        <v>0</v>
      </c>
      <c r="N3" s="130">
        <f t="shared" si="0"/>
        <v>5.4153968253968241</v>
      </c>
      <c r="O3" s="135"/>
      <c r="P3" s="135"/>
      <c r="Q3" s="130">
        <f t="shared" si="1"/>
        <v>5.4153968253968241</v>
      </c>
      <c r="R3" s="132" t="s">
        <v>103</v>
      </c>
      <c r="U3" s="133">
        <v>155</v>
      </c>
      <c r="V3" s="133">
        <v>225</v>
      </c>
      <c r="W3" s="133">
        <f t="shared" si="2"/>
        <v>380</v>
      </c>
      <c r="X3" s="133">
        <v>3</v>
      </c>
    </row>
    <row r="4" spans="1:70" s="68" customFormat="1" ht="15.75" customHeight="1" x14ac:dyDescent="0.25">
      <c r="A4" s="79" t="s">
        <v>253</v>
      </c>
      <c r="B4" s="73">
        <v>171</v>
      </c>
      <c r="C4" s="80">
        <v>11</v>
      </c>
      <c r="D4" s="127">
        <v>0.57499999999999996</v>
      </c>
      <c r="E4" s="127">
        <v>0.266666666666667</v>
      </c>
      <c r="F4" s="127">
        <v>2.5000000000000001E-2</v>
      </c>
      <c r="G4" s="127">
        <v>0.33928571428571402</v>
      </c>
      <c r="H4" s="127">
        <v>0.310606060606061</v>
      </c>
      <c r="I4" s="127">
        <v>2.7777777777777801E-2</v>
      </c>
      <c r="J4" s="128">
        <v>0.12</v>
      </c>
      <c r="K4" s="127">
        <v>0.46969696969697</v>
      </c>
      <c r="L4" s="130">
        <v>0.52500000000000002</v>
      </c>
      <c r="M4" s="92">
        <v>0.81666666666666698</v>
      </c>
      <c r="N4" s="130">
        <f t="shared" si="0"/>
        <v>3.4506998556998569</v>
      </c>
      <c r="O4" s="130">
        <v>0.1</v>
      </c>
      <c r="P4" s="130">
        <v>0.6</v>
      </c>
      <c r="Q4" s="130">
        <f t="shared" si="1"/>
        <v>4.1506998556998571</v>
      </c>
      <c r="R4" s="132" t="s">
        <v>103</v>
      </c>
      <c r="U4" s="133">
        <v>200</v>
      </c>
      <c r="V4" s="133">
        <v>265</v>
      </c>
      <c r="W4" s="133">
        <f t="shared" si="2"/>
        <v>465</v>
      </c>
      <c r="X4" s="133">
        <v>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ht="15.75" customHeight="1" x14ac:dyDescent="0.25">
      <c r="A5" s="79" t="s">
        <v>255</v>
      </c>
      <c r="B5" s="73">
        <v>171</v>
      </c>
      <c r="C5" s="80">
        <v>10</v>
      </c>
      <c r="D5" s="134">
        <v>0</v>
      </c>
      <c r="E5" s="127">
        <v>0.133333333333333</v>
      </c>
      <c r="F5" s="127">
        <v>0.2</v>
      </c>
      <c r="G5" s="127">
        <v>0.23214285714285701</v>
      </c>
      <c r="H5" s="127">
        <v>0.13636363636363599</v>
      </c>
      <c r="I5" s="125">
        <v>0.75</v>
      </c>
      <c r="J5" s="128">
        <v>0.3</v>
      </c>
      <c r="K5" s="127">
        <v>0.27272727272727298</v>
      </c>
      <c r="L5" s="130">
        <v>0.47499999999999998</v>
      </c>
      <c r="M5" s="38">
        <v>0.58333333333333304</v>
      </c>
      <c r="N5" s="130">
        <f t="shared" si="0"/>
        <v>3.0829004329004324</v>
      </c>
      <c r="O5" s="130">
        <v>0.4</v>
      </c>
      <c r="P5" s="130">
        <v>0.65</v>
      </c>
      <c r="Q5" s="130">
        <f t="shared" si="1"/>
        <v>4.1329004329004322</v>
      </c>
      <c r="R5" s="132" t="s">
        <v>103</v>
      </c>
      <c r="U5" s="133">
        <v>175</v>
      </c>
      <c r="V5" s="133">
        <v>135</v>
      </c>
      <c r="W5" s="133">
        <f t="shared" si="2"/>
        <v>310</v>
      </c>
      <c r="X5" s="133">
        <v>2</v>
      </c>
    </row>
    <row r="6" spans="1:70" ht="15.75" customHeight="1" x14ac:dyDescent="0.25">
      <c r="A6" s="79" t="s">
        <v>278</v>
      </c>
      <c r="B6" s="73" t="s">
        <v>6</v>
      </c>
      <c r="C6" s="74">
        <v>10</v>
      </c>
      <c r="D6" s="127">
        <v>3.3333333333333298E-2</v>
      </c>
      <c r="E6" s="127">
        <v>0.266666666666667</v>
      </c>
      <c r="F6" s="127">
        <v>0.17499999999999999</v>
      </c>
      <c r="G6" s="127">
        <v>0.26785714285714302</v>
      </c>
      <c r="H6" s="127">
        <v>0.30303030303030298</v>
      </c>
      <c r="I6" s="127">
        <v>0.30555555555555602</v>
      </c>
      <c r="J6" s="128">
        <v>0.3</v>
      </c>
      <c r="K6" s="127">
        <v>0.59090909090909105</v>
      </c>
      <c r="L6" s="130">
        <v>0.5</v>
      </c>
      <c r="M6" s="38">
        <v>0.586666666666667</v>
      </c>
      <c r="N6" s="130">
        <f t="shared" si="0"/>
        <v>3.2956854256854271</v>
      </c>
      <c r="O6" s="130">
        <v>0.2</v>
      </c>
      <c r="P6" s="130">
        <v>0.55000000000000004</v>
      </c>
      <c r="Q6" s="130">
        <f t="shared" si="1"/>
        <v>4.0456854256854271</v>
      </c>
      <c r="R6" s="132" t="s">
        <v>103</v>
      </c>
      <c r="U6" s="133">
        <v>130</v>
      </c>
      <c r="V6" s="133">
        <v>120</v>
      </c>
      <c r="W6" s="133">
        <f t="shared" si="2"/>
        <v>250</v>
      </c>
      <c r="X6" s="133">
        <v>3</v>
      </c>
    </row>
    <row r="7" spans="1:70" s="68" customFormat="1" ht="15.75" customHeight="1" x14ac:dyDescent="0.25">
      <c r="A7" s="79" t="s">
        <v>279</v>
      </c>
      <c r="B7" s="73">
        <v>171</v>
      </c>
      <c r="C7" s="80">
        <v>11</v>
      </c>
      <c r="D7" s="127">
        <v>0.2</v>
      </c>
      <c r="E7" s="127">
        <v>0.266666666666667</v>
      </c>
      <c r="F7" s="127">
        <v>7.4999999999999997E-2</v>
      </c>
      <c r="G7" s="127">
        <v>0.26785714285714302</v>
      </c>
      <c r="H7" s="127">
        <v>0.19696969696969699</v>
      </c>
      <c r="I7" s="127">
        <v>0.194444444444444</v>
      </c>
      <c r="J7" s="128">
        <v>0.3</v>
      </c>
      <c r="K7" s="125">
        <v>0.83333333333333304</v>
      </c>
      <c r="L7" s="130">
        <v>0.15</v>
      </c>
      <c r="M7" s="38">
        <v>0.41666666666666702</v>
      </c>
      <c r="N7" s="130">
        <f t="shared" si="0"/>
        <v>2.8259379509379507</v>
      </c>
      <c r="O7" s="130">
        <v>0.28000000000000003</v>
      </c>
      <c r="P7" s="130">
        <v>0.4</v>
      </c>
      <c r="Q7" s="130">
        <f t="shared" si="1"/>
        <v>3.5059379509379505</v>
      </c>
      <c r="R7" s="132" t="s">
        <v>103</v>
      </c>
      <c r="U7" s="133">
        <v>150</v>
      </c>
      <c r="V7" s="133">
        <v>165</v>
      </c>
      <c r="W7" s="133">
        <f t="shared" si="2"/>
        <v>315</v>
      </c>
      <c r="X7" s="133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75" customHeight="1" x14ac:dyDescent="0.25">
      <c r="A8" s="79" t="s">
        <v>280</v>
      </c>
      <c r="B8" s="73">
        <v>171</v>
      </c>
      <c r="C8" s="80">
        <v>11</v>
      </c>
      <c r="D8" s="127">
        <v>0.21666666666666701</v>
      </c>
      <c r="E8" s="127">
        <v>0.133333333333333</v>
      </c>
      <c r="F8" s="127">
        <v>0.1</v>
      </c>
      <c r="G8" s="127">
        <v>0.375</v>
      </c>
      <c r="H8" s="127">
        <v>0.12121212121212099</v>
      </c>
      <c r="I8" s="127">
        <v>0.27777777777777801</v>
      </c>
      <c r="J8" s="128">
        <v>0.04</v>
      </c>
      <c r="K8" s="127">
        <v>0.59090909090909105</v>
      </c>
      <c r="L8" s="134">
        <v>0</v>
      </c>
      <c r="M8" s="38">
        <v>0.47</v>
      </c>
      <c r="N8" s="130">
        <f t="shared" si="0"/>
        <v>2.32489898989899</v>
      </c>
      <c r="O8" s="130">
        <v>0.4</v>
      </c>
      <c r="P8" s="130">
        <v>0.65</v>
      </c>
      <c r="Q8" s="130">
        <f t="shared" si="1"/>
        <v>3.3748989898989898</v>
      </c>
      <c r="R8" s="136" t="s">
        <v>103</v>
      </c>
      <c r="U8" s="137">
        <v>125</v>
      </c>
      <c r="V8" s="137">
        <v>220</v>
      </c>
      <c r="W8" s="137">
        <f t="shared" si="2"/>
        <v>345</v>
      </c>
      <c r="X8" s="137">
        <v>3</v>
      </c>
    </row>
    <row r="9" spans="1:70" s="68" customFormat="1" ht="15.75" customHeight="1" x14ac:dyDescent="0.25">
      <c r="A9" s="79" t="s">
        <v>256</v>
      </c>
      <c r="B9" s="73">
        <v>171</v>
      </c>
      <c r="C9" s="80">
        <v>10</v>
      </c>
      <c r="D9" s="127">
        <v>0.5</v>
      </c>
      <c r="E9" s="127">
        <v>0.33333333333333298</v>
      </c>
      <c r="F9" s="127">
        <v>2.5000000000000001E-2</v>
      </c>
      <c r="G9" s="127">
        <v>0.23214285714285701</v>
      </c>
      <c r="H9" s="127">
        <v>1.5151515151515201E-2</v>
      </c>
      <c r="I9" s="127">
        <v>0.194444444444444</v>
      </c>
      <c r="J9" s="128">
        <v>0.04</v>
      </c>
      <c r="K9" s="127">
        <v>0.31818181818181801</v>
      </c>
      <c r="L9" s="130">
        <v>0.52500000000000002</v>
      </c>
      <c r="M9" s="38">
        <v>0.233333333333333</v>
      </c>
      <c r="N9" s="130">
        <f t="shared" si="0"/>
        <v>2.4014357864357851</v>
      </c>
      <c r="O9" s="130">
        <v>0.38</v>
      </c>
      <c r="P9" s="130">
        <v>0.55000000000000004</v>
      </c>
      <c r="Q9" s="130">
        <f t="shared" si="1"/>
        <v>3.3314357864357849</v>
      </c>
      <c r="R9" s="132" t="s">
        <v>103</v>
      </c>
      <c r="S9" s="87"/>
      <c r="T9" s="87"/>
      <c r="U9" s="72">
        <v>105</v>
      </c>
      <c r="V9" s="72">
        <v>290</v>
      </c>
      <c r="W9" s="133">
        <f t="shared" si="2"/>
        <v>395</v>
      </c>
      <c r="X9" s="72">
        <v>1</v>
      </c>
    </row>
    <row r="10" spans="1:70" ht="15.75" customHeight="1" x14ac:dyDescent="0.25">
      <c r="A10" s="79" t="s">
        <v>259</v>
      </c>
      <c r="B10" s="73" t="s">
        <v>6</v>
      </c>
      <c r="C10" s="74">
        <v>11</v>
      </c>
      <c r="D10" s="127">
        <v>0.2</v>
      </c>
      <c r="E10" s="127">
        <v>0.133333333333333</v>
      </c>
      <c r="F10" s="127">
        <v>7.4999999999999997E-2</v>
      </c>
      <c r="G10" s="127">
        <v>0.14285714285714299</v>
      </c>
      <c r="H10" s="127">
        <v>0.30303030303030298</v>
      </c>
      <c r="I10" s="127">
        <v>0.16666666666666699</v>
      </c>
      <c r="J10" s="128">
        <v>0.16</v>
      </c>
      <c r="K10" s="127">
        <v>0.42424242424242398</v>
      </c>
      <c r="L10" s="130">
        <v>0.55000000000000004</v>
      </c>
      <c r="M10" s="38">
        <v>0.336666666666667</v>
      </c>
      <c r="N10" s="130">
        <f t="shared" si="0"/>
        <v>2.4167965367965367</v>
      </c>
      <c r="O10" s="130">
        <v>0.4</v>
      </c>
      <c r="P10" s="130">
        <v>0.05</v>
      </c>
      <c r="Q10" s="130">
        <f t="shared" si="1"/>
        <v>2.8667965367965365</v>
      </c>
      <c r="R10" s="138"/>
      <c r="U10" s="119"/>
      <c r="V10" s="119"/>
      <c r="W10" s="119"/>
      <c r="X10" s="119"/>
    </row>
    <row r="11" spans="1:70" ht="15.75" customHeight="1" x14ac:dyDescent="0.25">
      <c r="A11" s="84" t="s">
        <v>254</v>
      </c>
      <c r="B11" s="73">
        <v>171</v>
      </c>
      <c r="C11" s="74">
        <v>11</v>
      </c>
      <c r="D11" s="127">
        <v>0.358333333333333</v>
      </c>
      <c r="E11" s="127">
        <v>6.6666666666666693E-2</v>
      </c>
      <c r="F11" s="127">
        <v>2.5000000000000001E-2</v>
      </c>
      <c r="G11" s="127">
        <v>0.19642857142857101</v>
      </c>
      <c r="H11" s="127">
        <v>0.12121212121212099</v>
      </c>
      <c r="I11" s="127">
        <v>0.11111111111111099</v>
      </c>
      <c r="J11" s="128">
        <v>0.04</v>
      </c>
      <c r="K11" s="127">
        <v>0.24242424242424199</v>
      </c>
      <c r="L11" s="130">
        <v>0.5</v>
      </c>
      <c r="M11" s="38">
        <v>0.4</v>
      </c>
      <c r="N11" s="130">
        <f t="shared" si="0"/>
        <v>2.036176046176045</v>
      </c>
      <c r="O11" s="130">
        <v>0.22</v>
      </c>
      <c r="P11" s="130">
        <v>0.6</v>
      </c>
      <c r="Q11" s="130">
        <f t="shared" si="1"/>
        <v>2.8561760461760453</v>
      </c>
      <c r="R11" s="132" t="s">
        <v>103</v>
      </c>
      <c r="S11" s="87"/>
      <c r="T11" s="87"/>
      <c r="U11" s="133">
        <v>170</v>
      </c>
      <c r="V11" s="133">
        <v>220</v>
      </c>
      <c r="W11" s="133">
        <f>SUM(U11:V11)</f>
        <v>390</v>
      </c>
      <c r="X11" s="133">
        <v>3</v>
      </c>
    </row>
    <row r="12" spans="1:70" s="68" customFormat="1" ht="15.75" customHeight="1" x14ac:dyDescent="0.25">
      <c r="A12" s="79" t="s">
        <v>281</v>
      </c>
      <c r="B12" s="73">
        <v>171</v>
      </c>
      <c r="C12" s="80">
        <v>10</v>
      </c>
      <c r="D12" s="127">
        <v>0.05</v>
      </c>
      <c r="E12" s="127">
        <v>0.266666666666667</v>
      </c>
      <c r="F12" s="134">
        <v>0</v>
      </c>
      <c r="G12" s="127">
        <v>1.7857142857142901E-2</v>
      </c>
      <c r="H12" s="127">
        <v>0.12121212121212099</v>
      </c>
      <c r="I12" s="127">
        <v>0.13888888888888901</v>
      </c>
      <c r="J12" s="128">
        <v>0.04</v>
      </c>
      <c r="K12" s="127">
        <v>0.439393939393939</v>
      </c>
      <c r="L12" s="130">
        <v>0.67500000000000004</v>
      </c>
      <c r="M12" s="38">
        <v>0.42666666666666703</v>
      </c>
      <c r="N12" s="130">
        <f t="shared" si="0"/>
        <v>2.1756854256854261</v>
      </c>
      <c r="O12" s="130">
        <v>0.2</v>
      </c>
      <c r="P12" s="130">
        <v>0.32500000000000001</v>
      </c>
      <c r="Q12" s="130">
        <f t="shared" si="1"/>
        <v>2.7006854256854265</v>
      </c>
      <c r="R12" s="132" t="s">
        <v>103</v>
      </c>
      <c r="S12" s="87"/>
      <c r="T12" s="87"/>
      <c r="U12" s="72">
        <v>115</v>
      </c>
      <c r="V12" s="72">
        <v>80</v>
      </c>
      <c r="W12" s="133">
        <f>SUM(U12:V12)</f>
        <v>195</v>
      </c>
      <c r="X12" s="72"/>
    </row>
    <row r="13" spans="1:70" ht="15.75" customHeight="1" x14ac:dyDescent="0.25">
      <c r="A13" s="79" t="s">
        <v>282</v>
      </c>
      <c r="B13" s="73">
        <v>171</v>
      </c>
      <c r="C13" s="80">
        <v>8</v>
      </c>
      <c r="D13" s="134">
        <v>0</v>
      </c>
      <c r="E13" s="127">
        <v>6.6666666666666693E-2</v>
      </c>
      <c r="F13" s="127">
        <v>0.17499999999999999</v>
      </c>
      <c r="G13" s="127">
        <v>0.39285714285714302</v>
      </c>
      <c r="H13" s="127">
        <v>0.12121212121212099</v>
      </c>
      <c r="I13" s="125">
        <v>0.75</v>
      </c>
      <c r="J13" s="128">
        <v>0.3</v>
      </c>
      <c r="K13" s="127">
        <v>6.0606060606060601E-2</v>
      </c>
      <c r="L13" s="130">
        <v>0.6</v>
      </c>
      <c r="M13" s="134">
        <v>0</v>
      </c>
      <c r="N13" s="130">
        <f t="shared" si="0"/>
        <v>2.4663419913419911</v>
      </c>
      <c r="O13" s="134">
        <v>0</v>
      </c>
      <c r="P13" s="134">
        <v>0</v>
      </c>
      <c r="Q13" s="130">
        <f t="shared" si="1"/>
        <v>2.4663419913419911</v>
      </c>
      <c r="R13" s="138"/>
      <c r="U13" s="119"/>
      <c r="V13" s="119"/>
      <c r="W13" s="119"/>
      <c r="X13" s="119"/>
    </row>
    <row r="14" spans="1:70" ht="15.75" customHeight="1" x14ac:dyDescent="0.25">
      <c r="A14" s="79" t="s">
        <v>283</v>
      </c>
      <c r="B14" s="73">
        <v>171</v>
      </c>
      <c r="C14" s="80">
        <v>10</v>
      </c>
      <c r="D14" s="134">
        <v>0</v>
      </c>
      <c r="E14" s="127">
        <v>0.133333333333333</v>
      </c>
      <c r="F14" s="134">
        <v>0</v>
      </c>
      <c r="G14" s="127">
        <v>5.3571428571428603E-2</v>
      </c>
      <c r="H14" s="127">
        <v>6.0606060606060601E-2</v>
      </c>
      <c r="I14" s="127">
        <v>8.3333333333333301E-2</v>
      </c>
      <c r="J14" s="134">
        <v>0</v>
      </c>
      <c r="K14" s="134">
        <v>0</v>
      </c>
      <c r="L14" s="130">
        <v>0.5</v>
      </c>
      <c r="M14" s="38">
        <v>0.34</v>
      </c>
      <c r="N14" s="130">
        <f t="shared" si="0"/>
        <v>1.1708441558441556</v>
      </c>
      <c r="O14" s="130">
        <v>0.24</v>
      </c>
      <c r="P14" s="134">
        <v>0</v>
      </c>
      <c r="Q14" s="130">
        <f t="shared" si="1"/>
        <v>1.4108441558441556</v>
      </c>
      <c r="R14" s="132" t="s">
        <v>103</v>
      </c>
      <c r="S14" s="87"/>
      <c r="T14" s="87"/>
      <c r="U14" s="133">
        <v>100</v>
      </c>
      <c r="V14" s="133">
        <v>130</v>
      </c>
      <c r="W14" s="133">
        <f>SUM(U14:V14)</f>
        <v>230</v>
      </c>
      <c r="X14" s="133">
        <v>3</v>
      </c>
    </row>
    <row r="15" spans="1:70" s="82" customFormat="1" ht="15.75" customHeight="1" x14ac:dyDescent="0.25">
      <c r="A15" s="84" t="s">
        <v>284</v>
      </c>
      <c r="B15" s="73">
        <v>208</v>
      </c>
      <c r="C15" s="74">
        <v>11</v>
      </c>
      <c r="D15" s="134">
        <v>0</v>
      </c>
      <c r="E15" s="127">
        <v>6.6666666666666693E-2</v>
      </c>
      <c r="F15" s="134">
        <v>0</v>
      </c>
      <c r="G15" s="127">
        <v>0.26785714285714302</v>
      </c>
      <c r="H15" s="127">
        <v>0.12121212121212099</v>
      </c>
      <c r="I15" s="127">
        <v>0.194444444444444</v>
      </c>
      <c r="J15" s="134">
        <v>0</v>
      </c>
      <c r="K15" s="127">
        <v>0.51515151515151503</v>
      </c>
      <c r="L15" s="134">
        <v>0</v>
      </c>
      <c r="M15" s="134">
        <v>0</v>
      </c>
      <c r="N15" s="130">
        <f t="shared" si="0"/>
        <v>1.1653318903318897</v>
      </c>
      <c r="O15" s="130">
        <v>0.24</v>
      </c>
      <c r="P15" s="134">
        <v>0</v>
      </c>
      <c r="Q15" s="130">
        <f t="shared" si="1"/>
        <v>1.4053318903318897</v>
      </c>
      <c r="R15" s="139"/>
      <c r="S15" s="68"/>
      <c r="T15" s="140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</row>
    <row r="16" spans="1:70" ht="15.75" customHeight="1" x14ac:dyDescent="0.25">
      <c r="A16" s="79" t="s">
        <v>285</v>
      </c>
      <c r="B16" s="73">
        <v>171</v>
      </c>
      <c r="C16" s="80">
        <v>10</v>
      </c>
      <c r="D16" s="134">
        <v>0</v>
      </c>
      <c r="E16" s="127">
        <v>0.133333333333333</v>
      </c>
      <c r="F16" s="134">
        <v>0</v>
      </c>
      <c r="G16" s="127">
        <v>0.23214285714285701</v>
      </c>
      <c r="H16" s="127">
        <v>0.12878787878787901</v>
      </c>
      <c r="I16" s="127">
        <v>8.3333333333333301E-2</v>
      </c>
      <c r="J16" s="134">
        <v>0</v>
      </c>
      <c r="K16" s="134">
        <v>0</v>
      </c>
      <c r="L16" s="130">
        <v>0.2</v>
      </c>
      <c r="M16" s="38">
        <v>0.28666666666666701</v>
      </c>
      <c r="N16" s="130">
        <f t="shared" si="0"/>
        <v>1.0642640692640695</v>
      </c>
      <c r="O16" s="130">
        <v>0.2</v>
      </c>
      <c r="P16" s="134">
        <v>0</v>
      </c>
      <c r="Q16" s="130">
        <f t="shared" si="1"/>
        <v>1.2642640692640694</v>
      </c>
      <c r="R16" s="141"/>
    </row>
    <row r="17" spans="1:20" ht="15.75" customHeight="1" x14ac:dyDescent="0.25">
      <c r="A17" s="84" t="s">
        <v>286</v>
      </c>
      <c r="B17" s="73">
        <v>171</v>
      </c>
      <c r="C17" s="74">
        <v>10</v>
      </c>
      <c r="D17" s="134">
        <v>0</v>
      </c>
      <c r="E17" s="134">
        <v>0</v>
      </c>
      <c r="F17" s="127">
        <v>0.15</v>
      </c>
      <c r="G17" s="127">
        <v>7.1428571428571397E-2</v>
      </c>
      <c r="H17" s="127">
        <v>0.12121212121212099</v>
      </c>
      <c r="I17" s="134">
        <v>0</v>
      </c>
      <c r="J17" s="128">
        <v>0.04</v>
      </c>
      <c r="K17" s="127">
        <v>0.19696969696969699</v>
      </c>
      <c r="L17" s="130">
        <v>0.5</v>
      </c>
      <c r="M17" s="134">
        <v>0</v>
      </c>
      <c r="N17" s="130">
        <f t="shared" si="0"/>
        <v>1.0796103896103895</v>
      </c>
      <c r="O17" s="134">
        <v>0</v>
      </c>
      <c r="P17" s="134">
        <v>0</v>
      </c>
      <c r="Q17" s="130">
        <f t="shared" si="1"/>
        <v>1.0796103896103895</v>
      </c>
      <c r="R17" s="141"/>
    </row>
    <row r="18" spans="1:20" ht="15.75" customHeight="1" x14ac:dyDescent="0.25">
      <c r="A18" s="79" t="s">
        <v>287</v>
      </c>
      <c r="B18" s="73">
        <v>145</v>
      </c>
      <c r="C18" s="80">
        <v>9</v>
      </c>
      <c r="D18" s="134">
        <v>0</v>
      </c>
      <c r="E18" s="134">
        <v>0</v>
      </c>
      <c r="F18" s="127">
        <v>0.2</v>
      </c>
      <c r="G18" s="127">
        <v>0.19642857142857101</v>
      </c>
      <c r="H18" s="127">
        <v>0.19696969696969699</v>
      </c>
      <c r="I18" s="127">
        <v>0.11111111111111099</v>
      </c>
      <c r="J18" s="128">
        <v>0.04</v>
      </c>
      <c r="K18" s="134">
        <v>0</v>
      </c>
      <c r="L18" s="127">
        <v>7.4999999999999997E-2</v>
      </c>
      <c r="M18" s="134">
        <v>0</v>
      </c>
      <c r="N18" s="130">
        <f t="shared" si="0"/>
        <v>0.81950937950937908</v>
      </c>
      <c r="O18" s="130">
        <v>0.06</v>
      </c>
      <c r="P18" s="134">
        <v>0</v>
      </c>
      <c r="Q18" s="130">
        <f t="shared" si="1"/>
        <v>0.87950937950937913</v>
      </c>
      <c r="R18" s="68"/>
    </row>
    <row r="19" spans="1:20" ht="15.75" customHeight="1" x14ac:dyDescent="0.25">
      <c r="A19" s="79" t="s">
        <v>257</v>
      </c>
      <c r="B19" s="73">
        <v>171</v>
      </c>
      <c r="C19" s="80">
        <v>10</v>
      </c>
      <c r="D19" s="134">
        <v>0</v>
      </c>
      <c r="E19" s="134">
        <v>0</v>
      </c>
      <c r="F19" s="134">
        <v>0</v>
      </c>
      <c r="G19" s="127">
        <v>8.9285714285714302E-2</v>
      </c>
      <c r="H19" s="127">
        <v>0.12878787878787901</v>
      </c>
      <c r="I19" s="127">
        <v>2.7777777777777801E-2</v>
      </c>
      <c r="J19" s="128">
        <v>0.04</v>
      </c>
      <c r="K19" s="134">
        <v>0</v>
      </c>
      <c r="L19" s="130">
        <v>2.5000000000000001E-2</v>
      </c>
      <c r="M19" s="38">
        <v>0.34</v>
      </c>
      <c r="N19" s="130">
        <f t="shared" si="0"/>
        <v>0.65085137085137112</v>
      </c>
      <c r="O19" s="134">
        <v>0</v>
      </c>
      <c r="P19" s="134">
        <v>0</v>
      </c>
      <c r="Q19" s="130">
        <f t="shared" si="1"/>
        <v>0.65085137085137112</v>
      </c>
      <c r="R19" s="141"/>
    </row>
    <row r="20" spans="1:20" ht="15.75" customHeight="1" x14ac:dyDescent="0.25">
      <c r="A20" s="79" t="s">
        <v>288</v>
      </c>
      <c r="B20" s="73">
        <v>145</v>
      </c>
      <c r="C20" s="80">
        <v>11</v>
      </c>
      <c r="D20" s="127">
        <v>0.05</v>
      </c>
      <c r="E20" s="127">
        <v>0.2</v>
      </c>
      <c r="F20" s="134">
        <v>0</v>
      </c>
      <c r="G20" s="134">
        <v>0</v>
      </c>
      <c r="H20" s="127">
        <v>0.12121212121212099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0">
        <f t="shared" si="0"/>
        <v>0.37121212121212099</v>
      </c>
      <c r="O20" s="131"/>
      <c r="P20" s="131"/>
      <c r="Q20" s="130">
        <f t="shared" si="1"/>
        <v>0.37121212121212099</v>
      </c>
      <c r="R20" s="141"/>
    </row>
    <row r="21" spans="1:20" ht="15.75" customHeight="1" x14ac:dyDescent="0.25">
      <c r="A21" s="84" t="s">
        <v>289</v>
      </c>
      <c r="B21" s="73">
        <v>208</v>
      </c>
      <c r="C21" s="74">
        <v>9</v>
      </c>
      <c r="D21" s="134">
        <v>0</v>
      </c>
      <c r="E21" s="134">
        <v>0</v>
      </c>
      <c r="F21" s="134">
        <v>0</v>
      </c>
      <c r="G21" s="127">
        <v>0.125</v>
      </c>
      <c r="H21" s="127">
        <v>1.5151515151515201E-2</v>
      </c>
      <c r="I21" s="127">
        <v>0.16666666666666699</v>
      </c>
      <c r="J21" s="134">
        <v>0</v>
      </c>
      <c r="K21" s="134">
        <v>0</v>
      </c>
      <c r="L21" s="142">
        <v>0</v>
      </c>
      <c r="M21" s="38">
        <v>5.3333333333333302E-2</v>
      </c>
      <c r="N21" s="130">
        <f t="shared" si="0"/>
        <v>0.3601515151515155</v>
      </c>
      <c r="O21" s="143"/>
      <c r="P21" s="143"/>
      <c r="Q21" s="130">
        <f t="shared" si="1"/>
        <v>0.3601515151515155</v>
      </c>
      <c r="R21" s="141"/>
      <c r="T21" s="140"/>
    </row>
    <row r="22" spans="1:20" ht="15.75" customHeight="1" x14ac:dyDescent="0.25">
      <c r="A22" s="79" t="s">
        <v>290</v>
      </c>
      <c r="B22" s="79" t="s">
        <v>6</v>
      </c>
      <c r="C22" s="74">
        <v>10</v>
      </c>
      <c r="D22" s="134">
        <v>0</v>
      </c>
      <c r="E22" s="134">
        <v>0</v>
      </c>
      <c r="F22" s="134">
        <v>0</v>
      </c>
      <c r="G22" s="127">
        <v>0.125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0">
        <f t="shared" si="0"/>
        <v>0.125</v>
      </c>
      <c r="O22" s="131"/>
      <c r="P22" s="131"/>
      <c r="Q22" s="130">
        <f t="shared" si="1"/>
        <v>0.125</v>
      </c>
      <c r="R22" s="141"/>
    </row>
    <row r="23" spans="1:20" ht="15.75" customHeight="1" x14ac:dyDescent="0.25">
      <c r="A23" s="79" t="s">
        <v>291</v>
      </c>
      <c r="B23" s="73">
        <v>171</v>
      </c>
      <c r="C23" s="80">
        <v>8</v>
      </c>
      <c r="D23" s="134">
        <v>0</v>
      </c>
      <c r="E23" s="127">
        <v>6.6666666666666693E-2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0">
        <f t="shared" si="0"/>
        <v>6.6666666666666693E-2</v>
      </c>
      <c r="O23" s="131"/>
      <c r="P23" s="131"/>
      <c r="Q23" s="130">
        <f t="shared" si="1"/>
        <v>6.6666666666666693E-2</v>
      </c>
      <c r="R23" s="141"/>
    </row>
    <row r="24" spans="1:20" ht="15.75" customHeight="1" x14ac:dyDescent="0.25">
      <c r="A24" s="79" t="s">
        <v>292</v>
      </c>
      <c r="B24" s="73">
        <v>171</v>
      </c>
      <c r="C24" s="80">
        <v>10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0">
        <f t="shared" si="0"/>
        <v>0</v>
      </c>
      <c r="O24" s="144"/>
      <c r="P24" s="144"/>
      <c r="Q24" s="130">
        <f t="shared" si="1"/>
        <v>0</v>
      </c>
      <c r="R24" s="141"/>
    </row>
    <row r="25" spans="1:20" ht="15.75" customHeight="1" x14ac:dyDescent="0.25">
      <c r="A25" s="84" t="s">
        <v>293</v>
      </c>
      <c r="B25" s="79">
        <v>178</v>
      </c>
      <c r="C25" s="74">
        <v>8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0">
        <f t="shared" si="0"/>
        <v>0</v>
      </c>
      <c r="O25" s="131"/>
      <c r="P25" s="131"/>
      <c r="Q25" s="130">
        <f t="shared" si="1"/>
        <v>0</v>
      </c>
      <c r="R25" s="145"/>
    </row>
    <row r="26" spans="1:20" x14ac:dyDescent="0.25">
      <c r="A26" s="118" t="s">
        <v>294</v>
      </c>
      <c r="Q26" s="24"/>
      <c r="R26" s="68"/>
    </row>
    <row r="27" spans="1:20" x14ac:dyDescent="0.25">
      <c r="A27" s="118" t="s">
        <v>295</v>
      </c>
      <c r="Q27" s="24"/>
      <c r="R27" s="68"/>
    </row>
    <row r="28" spans="1:20" x14ac:dyDescent="0.25">
      <c r="A28" s="118"/>
      <c r="Q28" s="24"/>
      <c r="R28" s="68"/>
    </row>
    <row r="29" spans="1:20" x14ac:dyDescent="0.25">
      <c r="A29" s="118" t="s">
        <v>296</v>
      </c>
      <c r="Q29" s="24"/>
      <c r="R29" s="68"/>
    </row>
    <row r="30" spans="1:20" x14ac:dyDescent="0.25">
      <c r="A30" s="118"/>
      <c r="Q30" s="24"/>
      <c r="R30" s="68"/>
    </row>
    <row r="31" spans="1:20" x14ac:dyDescent="0.25">
      <c r="A31" s="119" t="s">
        <v>297</v>
      </c>
      <c r="O31" s="120" t="s">
        <v>237</v>
      </c>
      <c r="Q31" s="24"/>
      <c r="R31" s="68"/>
    </row>
  </sheetData>
  <printOptions horizontalCentered="1" verticalCentered="1"/>
  <pageMargins left="0.196527777777778" right="0.196527777777778" top="0.98402777777777795" bottom="0.39374999999999999" header="0.51180555555555496" footer="0.51180555555555496"/>
  <pageSetup firstPageNumber="0" orientation="landscape" horizontalDpi="300" verticalDpi="300"/>
  <headerFooter>
    <oddHeader>&amp;C&amp;"Arial,Звичайний"&amp;12Результати відбірково-тренувальних зборів команди міста Києва 
до IV етапу Всеукраїнської учнівської олімпіади з інформатики 2009 року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23</vt:i4>
      </vt:variant>
      <vt:variant>
        <vt:lpstr>Іменовані діапазони</vt:lpstr>
      </vt:variant>
      <vt:variant>
        <vt:i4>3</vt:i4>
      </vt:variant>
    </vt:vector>
  </HeadingPairs>
  <TitlesOfParts>
    <vt:vector size="26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2022</vt:lpstr>
      <vt:lpstr>2024</vt:lpstr>
      <vt:lpstr>2025</vt:lpstr>
      <vt:lpstr>'2014'!_ФільтрБазиДаних</vt:lpstr>
      <vt:lpstr>'2009'!Excel_BuiltIn__FilterDatabase</vt:lpstr>
      <vt:lpstr>'2007'!Область_друку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chief</cp:lastModifiedBy>
  <cp:revision>1</cp:revision>
  <cp:lastPrinted>2015-02-10T05:41:42Z</cp:lastPrinted>
  <dcterms:created xsi:type="dcterms:W3CDTF">2018-02-06T14:13:30Z</dcterms:created>
  <dcterms:modified xsi:type="dcterms:W3CDTF">2025-02-27T16:01:09Z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